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7230" windowHeight="8280" activeTab="1"/>
  </bookViews>
  <sheets>
    <sheet name="Kirjeldus" sheetId="1" r:id="rId1"/>
    <sheet name="Aruandesse2018" sheetId="4" r:id="rId2"/>
    <sheet name="Aruandesse2016" sheetId="2" r:id="rId3"/>
    <sheet name="TAI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33" i="2"/>
  <c r="D52" i="2"/>
  <c r="E52" i="2" s="1"/>
  <c r="C52" i="2"/>
  <c r="E51" i="2"/>
  <c r="E50" i="2"/>
  <c r="D50" i="2"/>
  <c r="C50" i="2"/>
  <c r="E49" i="2"/>
  <c r="E48" i="2"/>
  <c r="E47" i="2"/>
  <c r="E46" i="2"/>
  <c r="E45" i="2"/>
  <c r="E44" i="2"/>
  <c r="E43" i="2"/>
  <c r="E42" i="2"/>
  <c r="E41" i="2"/>
  <c r="E40" i="2"/>
  <c r="D39" i="2"/>
  <c r="D53" i="2" s="1"/>
  <c r="C39" i="2"/>
  <c r="E38" i="2"/>
  <c r="E37" i="2"/>
  <c r="D36" i="2"/>
  <c r="C36" i="2"/>
  <c r="E35" i="2"/>
  <c r="E34" i="2"/>
  <c r="E33" i="2"/>
  <c r="F7" i="4"/>
  <c r="J7" i="4" s="1"/>
  <c r="F8" i="4"/>
  <c r="F10" i="4"/>
  <c r="J10" i="4" s="1"/>
  <c r="F11" i="4"/>
  <c r="K11" i="4" s="1"/>
  <c r="F13" i="4"/>
  <c r="J13" i="4" s="1"/>
  <c r="F14" i="4"/>
  <c r="F15" i="4"/>
  <c r="F16" i="4"/>
  <c r="J16" i="4" s="1"/>
  <c r="F17" i="4"/>
  <c r="J17" i="4" s="1"/>
  <c r="F18" i="4"/>
  <c r="F19" i="4"/>
  <c r="F20" i="4"/>
  <c r="J20" i="4" s="1"/>
  <c r="F21" i="4"/>
  <c r="J21" i="4" s="1"/>
  <c r="F22" i="4"/>
  <c r="F24" i="4"/>
  <c r="J24" i="4" s="1"/>
  <c r="J27" i="4"/>
  <c r="F6" i="4"/>
  <c r="K6" i="4" s="1"/>
  <c r="D6" i="4"/>
  <c r="D24" i="4"/>
  <c r="D14" i="4"/>
  <c r="D15" i="4"/>
  <c r="E15" i="4" s="1"/>
  <c r="D16" i="4"/>
  <c r="D17" i="4"/>
  <c r="D18" i="4"/>
  <c r="D19" i="4"/>
  <c r="D20" i="4"/>
  <c r="D21" i="4"/>
  <c r="D22" i="4"/>
  <c r="D13" i="4"/>
  <c r="D11" i="4"/>
  <c r="D10" i="4"/>
  <c r="D7" i="4"/>
  <c r="D8" i="4"/>
  <c r="D25" i="4"/>
  <c r="E25" i="4" s="1"/>
  <c r="C24" i="4"/>
  <c r="C25" i="4" s="1"/>
  <c r="C14" i="4"/>
  <c r="E14" i="4" s="1"/>
  <c r="C15" i="4"/>
  <c r="C16" i="4"/>
  <c r="C17" i="4"/>
  <c r="C18" i="4"/>
  <c r="E18" i="4" s="1"/>
  <c r="C19" i="4"/>
  <c r="E19" i="4" s="1"/>
  <c r="C20" i="4"/>
  <c r="C21" i="4"/>
  <c r="E21" i="4" s="1"/>
  <c r="C22" i="4"/>
  <c r="E22" i="4" s="1"/>
  <c r="C13" i="4"/>
  <c r="C11" i="4"/>
  <c r="C10" i="4"/>
  <c r="C7" i="4"/>
  <c r="C8" i="4"/>
  <c r="C6" i="4"/>
  <c r="E17" i="4"/>
  <c r="K27" i="4"/>
  <c r="K26" i="4"/>
  <c r="J26" i="4"/>
  <c r="K25" i="4"/>
  <c r="J25" i="4"/>
  <c r="K24" i="4"/>
  <c r="K23" i="4"/>
  <c r="J23" i="4"/>
  <c r="K22" i="4"/>
  <c r="J22" i="4"/>
  <c r="K20" i="4"/>
  <c r="K19" i="4"/>
  <c r="J19" i="4"/>
  <c r="K18" i="4"/>
  <c r="J18" i="4"/>
  <c r="K16" i="4"/>
  <c r="K15" i="4"/>
  <c r="J15" i="4"/>
  <c r="K14" i="4"/>
  <c r="J14" i="4"/>
  <c r="K12" i="4"/>
  <c r="J12" i="4"/>
  <c r="J11" i="4"/>
  <c r="K10" i="4"/>
  <c r="K9" i="4"/>
  <c r="J9" i="4"/>
  <c r="K8" i="4"/>
  <c r="J8" i="4"/>
  <c r="K7" i="4" l="1"/>
  <c r="K13" i="4"/>
  <c r="K17" i="4"/>
  <c r="K21" i="4"/>
  <c r="M21" i="4" s="1"/>
  <c r="E20" i="4"/>
  <c r="E16" i="4"/>
  <c r="L15" i="4"/>
  <c r="C54" i="2"/>
  <c r="E36" i="2"/>
  <c r="C53" i="2"/>
  <c r="E53" i="2" s="1"/>
  <c r="D54" i="2"/>
  <c r="E54" i="2" s="1"/>
  <c r="E39" i="2"/>
  <c r="L14" i="4"/>
  <c r="J6" i="4"/>
  <c r="D23" i="4"/>
  <c r="E13" i="4"/>
  <c r="M13" i="4" s="1"/>
  <c r="E11" i="4"/>
  <c r="D12" i="4"/>
  <c r="E10" i="4"/>
  <c r="M10" i="4" s="1"/>
  <c r="E8" i="4"/>
  <c r="M8" i="4" s="1"/>
  <c r="E7" i="4"/>
  <c r="D9" i="4"/>
  <c r="D27" i="4" s="1"/>
  <c r="L25" i="4"/>
  <c r="M25" i="4"/>
  <c r="E24" i="4"/>
  <c r="L24" i="4" s="1"/>
  <c r="L19" i="4"/>
  <c r="M15" i="4"/>
  <c r="M19" i="4"/>
  <c r="L18" i="4"/>
  <c r="L22" i="4"/>
  <c r="C23" i="4"/>
  <c r="M11" i="4"/>
  <c r="C12" i="4"/>
  <c r="M7" i="4"/>
  <c r="L7" i="4"/>
  <c r="C9" i="4"/>
  <c r="E6" i="4"/>
  <c r="L16" i="4"/>
  <c r="L20" i="4"/>
  <c r="M16" i="4"/>
  <c r="M20" i="4"/>
  <c r="L17" i="4"/>
  <c r="M17" i="4"/>
  <c r="L11" i="4"/>
  <c r="L21" i="4"/>
  <c r="M14" i="4"/>
  <c r="M18" i="4"/>
  <c r="M22" i="4"/>
  <c r="H28" i="2"/>
  <c r="I28" i="2"/>
  <c r="H29" i="2"/>
  <c r="I29" i="2"/>
  <c r="C26" i="4" l="1"/>
  <c r="D26" i="4"/>
  <c r="E26" i="4" s="1"/>
  <c r="L26" i="4" s="1"/>
  <c r="E9" i="4"/>
  <c r="M9" i="4" s="1"/>
  <c r="C27" i="4"/>
  <c r="L13" i="4"/>
  <c r="L8" i="4"/>
  <c r="L6" i="4"/>
  <c r="E27" i="4"/>
  <c r="L27" i="4" s="1"/>
  <c r="E23" i="4"/>
  <c r="L23" i="4" s="1"/>
  <c r="L10" i="4"/>
  <c r="M24" i="4"/>
  <c r="M23" i="4"/>
  <c r="E12" i="4"/>
  <c r="L12" i="4" s="1"/>
  <c r="M6" i="4"/>
  <c r="L9" i="4"/>
  <c r="M26" i="4"/>
  <c r="H27" i="4"/>
  <c r="D24" i="2"/>
  <c r="C24" i="2"/>
  <c r="D13" i="2"/>
  <c r="C13" i="2"/>
  <c r="D10" i="2"/>
  <c r="E10" i="2" s="1"/>
  <c r="C10" i="2"/>
  <c r="M12" i="4" l="1"/>
  <c r="M27" i="4"/>
  <c r="G8" i="4"/>
  <c r="G12" i="4"/>
  <c r="G16" i="4"/>
  <c r="G20" i="4"/>
  <c r="G24" i="4"/>
  <c r="G23" i="4"/>
  <c r="G9" i="4"/>
  <c r="G13" i="4"/>
  <c r="G17" i="4"/>
  <c r="G21" i="4"/>
  <c r="G25" i="4"/>
  <c r="G19" i="4"/>
  <c r="G10" i="4"/>
  <c r="G14" i="4"/>
  <c r="G18" i="4"/>
  <c r="G22" i="4"/>
  <c r="G26" i="4"/>
  <c r="G7" i="4"/>
  <c r="G11" i="4"/>
  <c r="G15" i="4"/>
  <c r="G6" i="4"/>
  <c r="E13" i="2"/>
  <c r="H16" i="2"/>
  <c r="H8" i="2"/>
  <c r="H9" i="2"/>
  <c r="H10" i="2"/>
  <c r="H11" i="2"/>
  <c r="H12" i="2"/>
  <c r="H13" i="2"/>
  <c r="H7" i="2"/>
  <c r="H20" i="2"/>
  <c r="H21" i="2"/>
  <c r="H22" i="2"/>
  <c r="H23" i="2"/>
  <c r="H24" i="2"/>
  <c r="H25" i="2"/>
  <c r="H26" i="2"/>
  <c r="H27" i="2"/>
  <c r="H19" i="2"/>
  <c r="H14" i="2"/>
  <c r="I18" i="2"/>
  <c r="I8" i="2"/>
  <c r="I9" i="2"/>
  <c r="I10" i="2"/>
  <c r="I11" i="2"/>
  <c r="I12" i="2"/>
  <c r="I13" i="2"/>
  <c r="I14" i="2"/>
  <c r="H15" i="2"/>
  <c r="I15" i="2"/>
  <c r="I16" i="2"/>
  <c r="H17" i="2"/>
  <c r="I17" i="2"/>
  <c r="H18" i="2"/>
  <c r="I19" i="2"/>
  <c r="I20" i="2"/>
  <c r="I21" i="2"/>
  <c r="I22" i="2"/>
  <c r="I23" i="2"/>
  <c r="I24" i="2"/>
  <c r="I25" i="2"/>
  <c r="I26" i="2"/>
  <c r="I27" i="2"/>
  <c r="I7" i="2"/>
  <c r="D27" i="2" l="1"/>
  <c r="C27" i="2"/>
  <c r="C29" i="2" l="1"/>
  <c r="C28" i="2"/>
  <c r="D29" i="2"/>
  <c r="D28" i="2"/>
  <c r="E7" i="2"/>
  <c r="E11" i="2"/>
  <c r="E8" i="2"/>
  <c r="E12" i="2"/>
  <c r="E14" i="2"/>
  <c r="E15" i="2"/>
  <c r="E16" i="2"/>
  <c r="E17" i="2"/>
  <c r="E18" i="2"/>
  <c r="E19" i="2"/>
  <c r="E20" i="2"/>
  <c r="E21" i="2"/>
  <c r="E22" i="2"/>
  <c r="E23" i="2"/>
  <c r="E26" i="2"/>
  <c r="E25" i="2"/>
  <c r="E9" i="2"/>
  <c r="E28" i="2" l="1"/>
  <c r="E29" i="2"/>
  <c r="K25" i="2"/>
  <c r="J25" i="2"/>
  <c r="J26" i="2"/>
  <c r="K26" i="2"/>
  <c r="K20" i="2"/>
  <c r="J20" i="2"/>
  <c r="K16" i="2"/>
  <c r="J16" i="2"/>
  <c r="J8" i="2"/>
  <c r="K8" i="2"/>
  <c r="K17" i="2"/>
  <c r="J17" i="2"/>
  <c r="K23" i="2"/>
  <c r="J23" i="2"/>
  <c r="J15" i="2"/>
  <c r="K15" i="2"/>
  <c r="K11" i="2"/>
  <c r="J11" i="2"/>
  <c r="J21" i="2"/>
  <c r="K21" i="2"/>
  <c r="J12" i="2"/>
  <c r="K12" i="2"/>
  <c r="K19" i="2"/>
  <c r="J19" i="2"/>
  <c r="J9" i="2"/>
  <c r="K9" i="2"/>
  <c r="J22" i="2"/>
  <c r="K22" i="2"/>
  <c r="J18" i="2"/>
  <c r="K18" i="2"/>
  <c r="K14" i="2"/>
  <c r="J14" i="2"/>
  <c r="K7" i="2"/>
  <c r="J7" i="2"/>
  <c r="E24" i="2"/>
  <c r="E27" i="2"/>
  <c r="J29" i="2" l="1"/>
  <c r="K29" i="2"/>
  <c r="J28" i="2"/>
  <c r="K28" i="2"/>
  <c r="J27" i="2"/>
  <c r="K27" i="2"/>
  <c r="J24" i="2"/>
  <c r="K24" i="2"/>
  <c r="J13" i="2"/>
  <c r="K13" i="2"/>
  <c r="J10" i="2"/>
  <c r="K10" i="2"/>
  <c r="G28" i="2"/>
</calcChain>
</file>

<file path=xl/sharedStrings.xml><?xml version="1.0" encoding="utf-8"?>
<sst xmlns="http://schemas.openxmlformats.org/spreadsheetml/2006/main" count="204" uniqueCount="107">
  <si>
    <t>Robson 1+2 haiglate järgi, 2013–2015</t>
  </si>
  <si>
    <t>(esmassünnitajad, üksiksünnitus, loote peaseis, raseduskestus&gt;=37)</t>
  </si>
  <si>
    <t>Allikas: Eesti Meditsiiniline Sünniregister</t>
  </si>
  <si>
    <t>Haigla</t>
  </si>
  <si>
    <t>Robson 1+2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</si>
  <si>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</si>
  <si>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</si>
  <si>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</si>
  <si>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</si>
  <si>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</si>
  <si>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</si>
  <si>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</si>
  <si>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</si>
  <si>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</si>
  <si>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</si>
  <si>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</si>
  <si>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</si>
  <si>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</si>
  <si>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</si>
  <si>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</si>
  <si>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</si>
  <si>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</si>
  <si>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</si>
  <si>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</si>
  <si>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</si>
  <si>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</si>
  <si>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>Erahaiglad</t>
  </si>
  <si>
    <t>Sünnitused
rühmas I+II</t>
  </si>
  <si>
    <t>Nendest
keisrilõikega</t>
  </si>
  <si>
    <t>15,74─18,68</t>
  </si>
  <si>
    <t>15,90─18,11</t>
  </si>
  <si>
    <t>26,33─34,69</t>
  </si>
  <si>
    <t>11,76─13,78</t>
  </si>
  <si>
    <t>15,58─20,85</t>
  </si>
  <si>
    <t xml:space="preserve"> 0,06─12,02</t>
  </si>
  <si>
    <t>5,47─13,01</t>
  </si>
  <si>
    <t>16,80─27,44</t>
  </si>
  <si>
    <t>11,40─19,50</t>
  </si>
  <si>
    <t>20,83─27,66</t>
  </si>
  <si>
    <t>11,55─20,21</t>
  </si>
  <si>
    <t>12,36─19,68</t>
  </si>
  <si>
    <t>44,39─63,10</t>
  </si>
  <si>
    <t>23,21─52,45</t>
  </si>
  <si>
    <t>eraH</t>
  </si>
  <si>
    <t>Fertilitas</t>
  </si>
  <si>
    <t>Elite</t>
  </si>
  <si>
    <t>Kokku:</t>
  </si>
  <si>
    <t>usaldusvahemik
95% CI</t>
  </si>
  <si>
    <t>0,00─9,75</t>
  </si>
  <si>
    <t>alumine uv</t>
  </si>
  <si>
    <t>ülemine uv</t>
  </si>
  <si>
    <t>alumise uv erinevus sagedusest</t>
  </si>
  <si>
    <t>ülemise uv erinevus sagedusest</t>
  </si>
  <si>
    <t xml:space="preserve">Sünnitused rühmas I+II </t>
  </si>
  <si>
    <t xml:space="preserve">Nendest keisrilõikega </t>
  </si>
  <si>
    <t>95% CI</t>
  </si>
  <si>
    <t>Kokku</t>
  </si>
  <si>
    <t>Keskhaiglad+
Üldhaiglad+
Erahaiglad</t>
  </si>
  <si>
    <t>keskH+üldH+eraH</t>
  </si>
  <si>
    <t>14,78─16,12</t>
  </si>
  <si>
    <t>20,35─24,89</t>
  </si>
  <si>
    <t>15,82─18,55</t>
  </si>
  <si>
    <t>41,18─57,02</t>
  </si>
  <si>
    <t>18,77─21,12</t>
  </si>
  <si>
    <t>16,13─17,30</t>
  </si>
  <si>
    <t>Robson 1+2 haiglate järgi, 2014–2016</t>
  </si>
  <si>
    <t>16,09‒18,25</t>
  </si>
  <si>
    <t>12,08‒14,15</t>
  </si>
  <si>
    <t>0,06–11,53</t>
  </si>
  <si>
    <t>19,67–26,89</t>
  </si>
  <si>
    <t>27,03–35,39</t>
  </si>
  <si>
    <t>5,46–13,30</t>
  </si>
  <si>
    <t>13,05–20,81</t>
  </si>
  <si>
    <t>8,87–17,69</t>
  </si>
  <si>
    <t>15,10–20,40</t>
  </si>
  <si>
    <t>13,87–24,34</t>
  </si>
  <si>
    <t>16,46–19,46</t>
  </si>
  <si>
    <t>39,54–64,85</t>
  </si>
  <si>
    <t>12,50–26,80</t>
  </si>
  <si>
    <t>10,10–17,18</t>
  </si>
  <si>
    <t>13,15–21,77</t>
  </si>
  <si>
    <t>16,12–17,30</t>
  </si>
  <si>
    <t>Tabel on uuendatud andmebaasi seisuga 24.07.2017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</si>
  <si>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</si>
  <si>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</si>
  <si>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</si>
  <si>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</si>
  <si>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</si>
  <si>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</si>
  <si>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</si>
  <si>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</si>
  <si>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</si>
  <si>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</si>
  <si>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</si>
  <si>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</si>
  <si>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</si>
  <si>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Valga Haigla</t>
  </si>
  <si>
    <t>Viljandi Haigla</t>
  </si>
  <si>
    <t>Elite Kliinik</t>
  </si>
  <si>
    <t>15,19-16,53</t>
  </si>
  <si>
    <t>20,47-24,99</t>
  </si>
  <si>
    <t>15,15-18,11</t>
  </si>
  <si>
    <t>40,38-63,98</t>
  </si>
  <si>
    <t>18,03-20,51</t>
  </si>
  <si>
    <t>2014-2016 
Robson 1+2</t>
  </si>
  <si>
    <t>2013-2015
Robson 1+2</t>
  </si>
  <si>
    <t>3. Robson 1+2 haiglate järgi, 2014–2016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</si>
</sst>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%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9"/>
      <color indexed="8"/>
      <name val="Arial"/>
      <family val="2"/>
      <charset val="186"/>
    </font>
    <font>
      <sz val="11"/>
      <color theme="1"/>
      <name val="Calibri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2" fillId="0" borderId="0" xfId="0" applyNumberFormat="1" applyFont="1" applyFill="1" applyBorder="1" applyAlignment="1" applyProtection="1">
      <alignment horizontal="left" wrapText="1" readingOrder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readingOrder="1"/>
    </xf>
    <xf numFmtId="0" fontId="3" fillId="0" borderId="0" xfId="0" applyNumberFormat="1" applyFont="1" applyFill="1" applyBorder="1" applyAlignment="1" applyProtection="1">
      <alignment horizontal="left" vertical="top" wrapText="1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left" vertical="top" wrapText="1" readingOrder="1"/>
    </xf>
    <xf numFmtId="0" fontId="0" fillId="0" borderId="3" xfId="0" applyFill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10" fontId="0" fillId="0" borderId="3" xfId="0" applyNumberFormat="1" applyBorder="1"/>
    <xf numFmtId="10" fontId="4" fillId="0" borderId="3" xfId="0" applyNumberFormat="1" applyFont="1" applyBorder="1"/>
    <xf numFmtId="10" fontId="6" fillId="0" borderId="0" xfId="0" applyNumberFormat="1" applyFont="1"/>
    <xf numFmtId="0" fontId="4" fillId="0" borderId="3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2" fillId="0" borderId="5" xfId="0" applyNumberFormat="1" applyFont="1" applyFill="1" applyBorder="1" applyAlignment="1" applyProtection="1">
      <alignment horizontal="left" vertical="center" wrapText="1" readingOrder="1"/>
    </xf>
    <xf numFmtId="0" fontId="2" fillId="0" borderId="5" xfId="0" applyNumberFormat="1" applyFont="1" applyFill="1" applyBorder="1" applyAlignment="1" applyProtection="1">
      <alignment horizontal="left" vertical="top" wrapText="1" readingOrder="1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3" fontId="5" fillId="0" borderId="3" xfId="0" applyNumberFormat="1" applyFont="1" applyBorder="1"/>
    <xf numFmtId="0" fontId="8" fillId="0" borderId="0" xfId="0" applyFont="1"/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9" fillId="0" borderId="0" xfId="0" applyNumberFormat="1" applyFont="1" applyFill="1" applyBorder="1" applyAlignment="1" applyProtection="1">
      <alignment horizontal="left" readingOrder="1"/>
    </xf>
    <xf numFmtId="0" fontId="0" fillId="0" borderId="0" xfId="0" applyAlignment="1"/>
    <xf numFmtId="0" fontId="2" fillId="0" borderId="7" xfId="0" applyNumberFormat="1" applyFont="1" applyFill="1" applyBorder="1" applyAlignment="1" applyProtection="1">
      <alignment horizontal="left" wrapText="1" readingOrder="1"/>
    </xf>
    <xf numFmtId="0" fontId="2" fillId="0" borderId="7" xfId="0" applyNumberFormat="1" applyFont="1" applyFill="1" applyBorder="1" applyAlignment="1" applyProtection="1">
      <alignment horizontal="right" wrapText="1" readingOrder="1"/>
    </xf>
    <xf numFmtId="164" fontId="7" fillId="0" borderId="7" xfId="0" applyNumberFormat="1" applyFont="1" applyFill="1" applyBorder="1" applyAlignment="1" applyProtection="1">
      <alignment horizontal="right" wrapText="1" readingOrder="1"/>
    </xf>
    <xf numFmtId="0" fontId="5" fillId="0" borderId="3" xfId="0" applyFont="1" applyFill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165" fontId="6" fillId="0" borderId="0" xfId="0" applyNumberFormat="1" applyFont="1"/>
    <xf numFmtId="0" fontId="6" fillId="0" borderId="0" xfId="0" applyFont="1" applyBorder="1" applyAlignment="1">
      <alignment horizontal="center" wrapText="1"/>
    </xf>
    <xf numFmtId="3" fontId="0" fillId="0" borderId="3" xfId="0" applyNumberFormat="1" applyBorder="1"/>
    <xf numFmtId="3" fontId="4" fillId="0" borderId="3" xfId="0" applyNumberFormat="1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1" fillId="0" borderId="0" xfId="0" applyFont="1" applyFill="1" applyBorder="1"/>
    <xf numFmtId="10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9" fontId="11" fillId="0" borderId="0" xfId="0" applyNumberFormat="1" applyFont="1" applyBorder="1"/>
    <xf numFmtId="10" fontId="12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/>
    <xf numFmtId="0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2" xfId="0" applyNumberFormat="1" applyFont="1" applyFill="1" applyBorder="1" applyAlignment="1" applyProtection="1">
      <alignment horizontal="center" vertical="center" wrapText="1" readingOrder="1"/>
    </xf>
    <xf numFmtId="0" fontId="10" fillId="0" borderId="4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Aruandesse2018!$E$5</c:f>
              <c:strCache>
                <c:ptCount val="1"/>
                <c:pt idx="0">
                  <c:v>2014-2016 
Robson 1+2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C-4305-81AB-596B5C6E5F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CE-48BB-BA1A-BA4839D677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3CE-48BB-BA1A-BA4839D677AA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3CE-48BB-BA1A-BA4839D677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2C-4305-81AB-596B5C6E5F99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CE-48BB-BA1A-BA4839D677AA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3CE-48BB-BA1A-BA4839D677A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92C-4305-81AB-596B5C6E5F9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3CE-48BB-BA1A-BA4839D677AA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3CE-48BB-BA1A-BA4839D677AA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92C-4305-81AB-596B5C6E5F99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3CE-48BB-BA1A-BA4839D677AA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E3CE-48BB-BA1A-BA4839D677AA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Aruandesse2018!$M$6:$M$26</c15:sqref>
                    </c15:fullRef>
                  </c:ext>
                </c:extLst>
                <c:f>(Aruandesse2018!$M$6:$M$16,Aruandesse2018!$M$18:$M$26)</c:f>
                <c:numCache>
                  <c:formatCode>General</c:formatCode>
                  <c:ptCount val="20"/>
                  <c:pt idx="0">
                    <c:v>1.104144805876181E-2</c:v>
                  </c:pt>
                  <c:pt idx="1">
                    <c:v>1.0618700740386927E-2</c:v>
                  </c:pt>
                  <c:pt idx="2">
                    <c:v>1.5351064653503665E-2</c:v>
                  </c:pt>
                  <c:pt idx="3">
                    <c:v>6.8257910706545355E-3</c:v>
                  </c:pt>
                  <c:pt idx="4">
                    <c:v>4.2924390243902433E-2</c:v>
                  </c:pt>
                  <c:pt idx="5">
                    <c:v>2.7671497584541044E-2</c:v>
                  </c:pt>
                  <c:pt idx="6">
                    <c:v>2.3384848484848481E-2</c:v>
                  </c:pt>
                  <c:pt idx="7">
                    <c:v>9.3560869565217392E-2</c:v>
                  </c:pt>
                  <c:pt idx="8">
                    <c:v>4.4894273127753306E-2</c:v>
                  </c:pt>
                  <c:pt idx="9">
                    <c:v>5.6443478260869567E-2</c:v>
                  </c:pt>
                  <c:pt idx="10">
                    <c:v>4.6271428571428574E-2</c:v>
                  </c:pt>
                  <c:pt idx="11">
                    <c:v>3.7570309653916251E-2</c:v>
                  </c:pt>
                  <c:pt idx="12">
                    <c:v>4.8800826446281004E-2</c:v>
                  </c:pt>
                  <c:pt idx="13">
                    <c:v>4.1433333333333322E-2</c:v>
                  </c:pt>
                  <c:pt idx="14">
                    <c:v>7.9023622047244113E-2</c:v>
                  </c:pt>
                  <c:pt idx="15">
                    <c:v>3.8292146596858645E-2</c:v>
                  </c:pt>
                  <c:pt idx="16">
                    <c:v>1.5301041249499381E-2</c:v>
                  </c:pt>
                  <c:pt idx="17">
                    <c:v>0.12542307692307686</c:v>
                  </c:pt>
                  <c:pt idx="18">
                    <c:v>0.11672307692307682</c:v>
                  </c:pt>
                  <c:pt idx="19">
                    <c:v>1.2673415765069557E-2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Aruandesse2018!$L$6:$L$26</c15:sqref>
                    </c15:fullRef>
                  </c:ext>
                </c:extLst>
                <c:f>(Aruandesse2018!$L$6:$L$16,Aruandesse2018!$L$18:$L$26)</c:f>
                <c:numCache>
                  <c:formatCode>General</c:formatCode>
                  <c:ptCount val="20"/>
                  <c:pt idx="0">
                    <c:v>1.0558551941238198E-2</c:v>
                  </c:pt>
                  <c:pt idx="1">
                    <c:v>1.0081299259613083E-2</c:v>
                  </c:pt>
                  <c:pt idx="2">
                    <c:v>1.4648935346496333E-2</c:v>
                  </c:pt>
                  <c:pt idx="3">
                    <c:v>6.5742089293454598E-3</c:v>
                  </c:pt>
                  <c:pt idx="4">
                    <c:v>4.0675609756097575E-2</c:v>
                  </c:pt>
                  <c:pt idx="5">
                    <c:v>2.5328502415458948E-2</c:v>
                  </c:pt>
                  <c:pt idx="6">
                    <c:v>2.181515151515151E-2</c:v>
                  </c:pt>
                  <c:pt idx="7">
                    <c:v>0</c:v>
                  </c:pt>
                  <c:pt idx="8">
                    <c:v>3.3505726872246698E-2</c:v>
                  </c:pt>
                  <c:pt idx="9">
                    <c:v>4.8256521739130448E-2</c:v>
                  </c:pt>
                  <c:pt idx="10">
                    <c:v>4.0428571428571425E-2</c:v>
                  </c:pt>
                  <c:pt idx="11">
                    <c:v>3.4629690346083764E-2</c:v>
                  </c:pt>
                  <c:pt idx="12">
                    <c:v>0</c:v>
                  </c:pt>
                  <c:pt idx="13">
                    <c:v>3.6166666666666653E-2</c:v>
                  </c:pt>
                  <c:pt idx="14">
                    <c:v>6.3976377952755903E-2</c:v>
                  </c:pt>
                  <c:pt idx="15">
                    <c:v>3.2507853403141371E-2</c:v>
                  </c:pt>
                  <c:pt idx="16">
                    <c:v>1.4298958750500607E-2</c:v>
                  </c:pt>
                  <c:pt idx="17">
                    <c:v>0.12767692307692313</c:v>
                  </c:pt>
                  <c:pt idx="18">
                    <c:v>0.11927692307692306</c:v>
                  </c:pt>
                  <c:pt idx="19">
                    <c:v>1.2126584234930432E-2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Aruandesse2018!$E$6:$E$26</c15:sqref>
                  </c15:fullRef>
                </c:ext>
              </c:extLst>
              <c:f>(Aruandesse2018!$E$6:$E$16,Aruandesse2018!$E$18:$E$26)</c:f>
              <c:numCache>
                <c:formatCode>0.00%</c:formatCode>
                <c:ptCount val="20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  <c:pt idx="17">
                  <c:v>0.52307692307692311</c:v>
                </c:pt>
                <c:pt idx="18">
                  <c:v>0.52307692307692311</c:v>
                </c:pt>
                <c:pt idx="19">
                  <c:v>0.19242658423493045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3CE-48BB-BA1A-BA4839D6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Aruandesse2016!$E$32</c:f>
              <c:strCache>
                <c:ptCount val="1"/>
                <c:pt idx="0">
                  <c:v>2013-2015
Robson 1+2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Aruandesse2018!$E$6:$E$26</c15:sqref>
                  </c15:fullRef>
                </c:ext>
              </c:extLst>
              <c:f>(Aruandesse2018!$E$6:$E$16,Aruandesse2018!$E$18:$E$26)</c:f>
              <c:numCache>
                <c:formatCode>0.00%</c:formatCode>
                <c:ptCount val="20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  <c:pt idx="17">
                  <c:v>0.52307692307692311</c:v>
                </c:pt>
                <c:pt idx="18">
                  <c:v>0.52307692307692311</c:v>
                </c:pt>
                <c:pt idx="19">
                  <c:v>0.19242658423493045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CE-48BB-BA1A-BA4839D677AA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Aruandesse2018!$G$6:$G$26</c15:sqref>
                  </c15:fullRef>
                </c:ext>
              </c:extLst>
              <c:f>(Aruandesse2018!$G$6:$G$16,Aruandesse2018!$G$18:$G$26)</c:f>
              <c:numCache>
                <c:formatCode>0%</c:formatCode>
                <c:ptCount val="20"/>
                <c:pt idx="0">
                  <c:v>0.16702341570993059</c:v>
                </c:pt>
                <c:pt idx="1">
                  <c:v>0.16702341570993059</c:v>
                </c:pt>
                <c:pt idx="2">
                  <c:v>0.16702341570993059</c:v>
                </c:pt>
                <c:pt idx="3">
                  <c:v>0.16702341570993059</c:v>
                </c:pt>
                <c:pt idx="4">
                  <c:v>0.16702341570993059</c:v>
                </c:pt>
                <c:pt idx="5">
                  <c:v>0.16702341570993059</c:v>
                </c:pt>
                <c:pt idx="6">
                  <c:v>0.16702341570993059</c:v>
                </c:pt>
                <c:pt idx="7">
                  <c:v>0.16702341570993059</c:v>
                </c:pt>
                <c:pt idx="8">
                  <c:v>0.16702341570993059</c:v>
                </c:pt>
                <c:pt idx="9">
                  <c:v>0.16702341570993059</c:v>
                </c:pt>
                <c:pt idx="10">
                  <c:v>0.16702341570993059</c:v>
                </c:pt>
                <c:pt idx="11">
                  <c:v>0.16702341570993059</c:v>
                </c:pt>
                <c:pt idx="12">
                  <c:v>0.16702341570993059</c:v>
                </c:pt>
                <c:pt idx="13">
                  <c:v>0.16702341570993059</c:v>
                </c:pt>
                <c:pt idx="14">
                  <c:v>0.16702341570993059</c:v>
                </c:pt>
                <c:pt idx="15">
                  <c:v>0.16702341570993059</c:v>
                </c:pt>
                <c:pt idx="16">
                  <c:v>0.16702341570993059</c:v>
                </c:pt>
                <c:pt idx="17">
                  <c:v>0.16702341570993059</c:v>
                </c:pt>
                <c:pt idx="18">
                  <c:v>0.16702341570993059</c:v>
                </c:pt>
                <c:pt idx="19">
                  <c:v>0.16702341570993059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CE-48BB-BA1A-BA4839D677AA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Aruandesse2016!$G$33:$G$53</c15:sqref>
                  </c15:fullRef>
                </c:ext>
              </c:extLst>
              <c:f>(Aruandesse2016!$G$33:$G$43,Aruandesse2016!$G$45:$G$53)</c:f>
              <c:numCache>
                <c:formatCode>0%</c:formatCode>
                <c:ptCount val="20"/>
                <c:pt idx="0">
                  <c:v>0.16650898770104069</c:v>
                </c:pt>
                <c:pt idx="1">
                  <c:v>0.16650898770104069</c:v>
                </c:pt>
                <c:pt idx="2">
                  <c:v>0.16650898770104069</c:v>
                </c:pt>
                <c:pt idx="3">
                  <c:v>0.16650898770104069</c:v>
                </c:pt>
                <c:pt idx="4">
                  <c:v>0.16650898770104069</c:v>
                </c:pt>
                <c:pt idx="5">
                  <c:v>0.16650898770104069</c:v>
                </c:pt>
                <c:pt idx="6">
                  <c:v>0.16650898770104069</c:v>
                </c:pt>
                <c:pt idx="7">
                  <c:v>0.16650898770104069</c:v>
                </c:pt>
                <c:pt idx="8">
                  <c:v>0.16650898770104069</c:v>
                </c:pt>
                <c:pt idx="9">
                  <c:v>0.16650898770104069</c:v>
                </c:pt>
                <c:pt idx="10">
                  <c:v>0.16650898770104069</c:v>
                </c:pt>
                <c:pt idx="11">
                  <c:v>0.16650898770104069</c:v>
                </c:pt>
                <c:pt idx="12">
                  <c:v>0.16650898770104069</c:v>
                </c:pt>
                <c:pt idx="13">
                  <c:v>0.16650898770104069</c:v>
                </c:pt>
                <c:pt idx="14">
                  <c:v>0.16650898770104069</c:v>
                </c:pt>
                <c:pt idx="15">
                  <c:v>0.16650898770104069</c:v>
                </c:pt>
                <c:pt idx="16">
                  <c:v>0.16650898770104069</c:v>
                </c:pt>
                <c:pt idx="17">
                  <c:v>0.16650898770104069</c:v>
                </c:pt>
                <c:pt idx="18">
                  <c:v>0.16650898770104069</c:v>
                </c:pt>
                <c:pt idx="19">
                  <c:v>0.16650898770104069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3CE-48BB-BA1A-BA4839D677AA}"/>
            </c:ext>
          </c:extLst>
        </c:ser>
        <c:ser>
          <c:idx val="1"/>
          <c:order val="4"/>
          <c:tx>
            <c:v>Eesmärk &lt;17%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Aruandesse2018!$H$6:$H$26</c15:sqref>
                  </c15:fullRef>
                </c:ext>
              </c:extLst>
              <c:f>(Aruandesse2018!$H$6:$H$16,Aruandesse2018!$H$18:$H$26)</c:f>
              <c:numCache>
                <c:formatCode>0.000%</c:formatCode>
                <c:ptCount val="20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3CE-48BB-BA1A-BA4839D6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554818805544039E-2"/>
          <c:y val="0.92883518273087151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Aruandesse2016!$E$6</c:f>
              <c:strCache>
                <c:ptCount val="1"/>
                <c:pt idx="0">
                  <c:v>2013-2015
Robson 1+2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13-455D-9C2D-F0D43CC2DD46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1B66-4616-908C-7AD1D7DC2E5F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C13-455D-9C2D-F0D43CC2DD4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C56-465D-B8DB-03FE128D806F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DBDA-47B4-8901-17B4869A7B9C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06F-426D-B631-A7E74C1A179B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Aruandesse2016!$K$7:$K$28</c:f>
                <c:numCache>
                  <c:formatCode>General</c:formatCode>
                  <c:ptCount val="22"/>
                  <c:pt idx="0">
                    <c:v>1.1238797091870451E-2</c:v>
                  </c:pt>
                  <c:pt idx="1">
                    <c:v>1.0369688451628029E-2</c:v>
                  </c:pt>
                  <c:pt idx="2">
                    <c:v>1.5051640293323038E-2</c:v>
                  </c:pt>
                  <c:pt idx="3">
                    <c:v>6.8004912711641385E-3</c:v>
                  </c:pt>
                  <c:pt idx="4">
                    <c:v>4.2998562628336734E-2</c:v>
                  </c:pt>
                  <c:pt idx="5">
                    <c:v>2.7425233644859826E-2</c:v>
                  </c:pt>
                  <c:pt idx="6">
                    <c:v>2.328570364854804E-2</c:v>
                  </c:pt>
                  <c:pt idx="7">
                    <c:v>9.7472727272727266E-2</c:v>
                  </c:pt>
                  <c:pt idx="8">
                    <c:v>4.2963070539419085E-2</c:v>
                  </c:pt>
                  <c:pt idx="9">
                    <c:v>5.6658064516129064E-2</c:v>
                  </c:pt>
                  <c:pt idx="10">
                    <c:v>4.3765432098765433E-2</c:v>
                  </c:pt>
                  <c:pt idx="11">
                    <c:v>9.7500000000000003E-2</c:v>
                  </c:pt>
                  <c:pt idx="12">
                    <c:v>3.5330158730158739E-2</c:v>
                  </c:pt>
                  <c:pt idx="13">
                    <c:v>4.6927586206896549E-2</c:v>
                  </c:pt>
                  <c:pt idx="14">
                    <c:v>3.9164532019704434E-2</c:v>
                  </c:pt>
                  <c:pt idx="15">
                    <c:v>3.9164532019704434E-2</c:v>
                  </c:pt>
                  <c:pt idx="16">
                    <c:v>3.9164532019704434E-2</c:v>
                  </c:pt>
                  <c:pt idx="17">
                    <c:v>1.3937917222963947E-2</c:v>
                  </c:pt>
                  <c:pt idx="18">
                    <c:v>9.2538461538461569E-2</c:v>
                  </c:pt>
                  <c:pt idx="19">
                    <c:v>0.15493478260869575</c:v>
                  </c:pt>
                  <c:pt idx="20">
                    <c:v>7.9402453987730104E-2</c:v>
                  </c:pt>
                  <c:pt idx="21">
                    <c:v>1.1955219902265668E-2</c:v>
                  </c:pt>
                </c:numCache>
              </c:numRef>
            </c:plus>
            <c:minus>
              <c:numRef>
                <c:f>Aruandesse2016!$J$7:$J$28</c:f>
                <c:numCache>
                  <c:formatCode>General</c:formatCode>
                  <c:ptCount val="22"/>
                  <c:pt idx="0">
                    <c:v>1.086120290812953E-2</c:v>
                  </c:pt>
                  <c:pt idx="1">
                    <c:v>9.8303115483719811E-3</c:v>
                  </c:pt>
                  <c:pt idx="2">
                    <c:v>1.4348359706676944E-2</c:v>
                  </c:pt>
                  <c:pt idx="3">
                    <c:v>6.5995087288358845E-3</c:v>
                  </c:pt>
                  <c:pt idx="4">
                    <c:v>4.0601437371663274E-2</c:v>
                  </c:pt>
                  <c:pt idx="5">
                    <c:v>2.5274766355140199E-2</c:v>
                  </c:pt>
                  <c:pt idx="6">
                    <c:v>2.2114296351451956E-2</c:v>
                  </c:pt>
                  <c:pt idx="7">
                    <c:v>2.2127272727272728E-2</c:v>
                  </c:pt>
                  <c:pt idx="8">
                    <c:v>3.243692946058091E-2</c:v>
                  </c:pt>
                  <c:pt idx="9">
                    <c:v>4.9741935483870958E-2</c:v>
                  </c:pt>
                  <c:pt idx="10">
                    <c:v>3.7234567901234569E-2</c:v>
                  </c:pt>
                  <c:pt idx="11">
                    <c:v>0</c:v>
                  </c:pt>
                  <c:pt idx="12">
                    <c:v>3.2969841269841288E-2</c:v>
                  </c:pt>
                  <c:pt idx="13">
                    <c:v>3.9672413793103448E-2</c:v>
                  </c:pt>
                  <c:pt idx="14">
                    <c:v>3.4035467980295581E-2</c:v>
                  </c:pt>
                  <c:pt idx="15">
                    <c:v>3.4035467980295581E-2</c:v>
                  </c:pt>
                  <c:pt idx="16">
                    <c:v>3.4035467980295581E-2</c:v>
                  </c:pt>
                  <c:pt idx="17">
                    <c:v>1.3362082777036044E-2</c:v>
                  </c:pt>
                  <c:pt idx="18">
                    <c:v>9.4561538461538419E-2</c:v>
                  </c:pt>
                  <c:pt idx="19">
                    <c:v>0.13746521739130432</c:v>
                  </c:pt>
                  <c:pt idx="20">
                    <c:v>7.8997546012269937E-2</c:v>
                  </c:pt>
                  <c:pt idx="21">
                    <c:v>1.1544780097734325E-2</c:v>
                  </c:pt>
                </c:numCache>
              </c:numRef>
            </c:minus>
          </c:errBars>
          <c:cat>
            <c:multiLvlStrRef>
              <c:f>Aruandesse2016!$A$7:$B$28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Aruandesse2016!$E$7:$E$28</c:f>
              <c:numCache>
                <c:formatCode>0.00%</c:formatCode>
                <c:ptCount val="22"/>
                <c:pt idx="0">
                  <c:v>0.16986120290812953</c:v>
                </c:pt>
                <c:pt idx="1">
                  <c:v>0.12743031154837198</c:v>
                </c:pt>
                <c:pt idx="2">
                  <c:v>0.17174835970667696</c:v>
                </c:pt>
                <c:pt idx="3">
                  <c:v>0.15439950872883587</c:v>
                </c:pt>
                <c:pt idx="4">
                  <c:v>0.30390143737166325</c:v>
                </c:pt>
                <c:pt idx="5">
                  <c:v>0.18107476635514019</c:v>
                </c:pt>
                <c:pt idx="6">
                  <c:v>0.22561429635145197</c:v>
                </c:pt>
                <c:pt idx="7">
                  <c:v>2.2727272727272728E-2</c:v>
                </c:pt>
                <c:pt idx="8">
                  <c:v>8.7136929460580909E-2</c:v>
                </c:pt>
                <c:pt idx="9">
                  <c:v>0.21774193548387097</c:v>
                </c:pt>
                <c:pt idx="10">
                  <c:v>0.15123456790123457</c:v>
                </c:pt>
                <c:pt idx="11">
                  <c:v>0</c:v>
                </c:pt>
                <c:pt idx="12">
                  <c:v>0.24126984126984127</c:v>
                </c:pt>
                <c:pt idx="13">
                  <c:v>0.15517241379310345</c:v>
                </c:pt>
                <c:pt idx="14">
                  <c:v>0.15763546798029557</c:v>
                </c:pt>
                <c:pt idx="15">
                  <c:v>0.15763546798029557</c:v>
                </c:pt>
                <c:pt idx="16">
                  <c:v>0.15763546798029557</c:v>
                </c:pt>
                <c:pt idx="17">
                  <c:v>0.17156208277703605</c:v>
                </c:pt>
                <c:pt idx="18">
                  <c:v>0.53846153846153844</c:v>
                </c:pt>
                <c:pt idx="19">
                  <c:v>0.36956521739130432</c:v>
                </c:pt>
                <c:pt idx="20">
                  <c:v>0.49079754601226994</c:v>
                </c:pt>
                <c:pt idx="21">
                  <c:v>0.19924478009773433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13-455D-9C2D-F0D43CC2D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5507440"/>
        <c:axId val="131309088"/>
      </c:barChart>
      <c:lineChart>
        <c:grouping val="standard"/>
        <c:varyColors val="0"/>
        <c:ser>
          <c:idx val="0"/>
          <c:order val="1"/>
          <c:tx>
            <c:v>Eesmärk ≤17%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Aruandesse2016!$A$7:$B$28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Aruandesse2016!$G$7:$G$28</c:f>
              <c:numCache>
                <c:formatCode>0.00%</c:formatCode>
                <c:ptCount val="22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  <c:pt idx="20">
                  <c:v>0.17</c:v>
                </c:pt>
                <c:pt idx="21">
                  <c:v>0.16709640903087855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13-455D-9C2D-F0D43CC2D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7440"/>
        <c:axId val="131309088"/>
      </c:lineChart>
      <c:catAx>
        <c:axId val="8550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1309088"/>
        <c:crosses val="autoZero"/>
        <c:auto val="1"/>
        <c:lblAlgn val="ctr"/>
        <c:lblOffset val="100"/>
        <c:noMultiLvlLbl val="0"/>
      </c:catAx>
      <c:valAx>
        <c:axId val="131309088"/>
        <c:scaling>
          <c:orientation val="minMax"/>
          <c:max val="0.6500000000000001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85507440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8.0094504072013697E-2"/>
          <c:y val="0.91299327514008211"/>
          <c:w val="0.76315945378234684"/>
          <c:h val="7.496118151605830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9525</xdr:rowOff>
    </xdr:from>
    <xdr:to>
      <xdr:col>9</xdr:col>
      <xdr:colOff>38100</xdr:colOff>
      <xdr:row>29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099" y="9525"/>
          <a:ext cx="5486401" cy="56483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3: Keisrilõigete osamäär esmassünnitajatel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ajalise üksiksünnituse korral (Robson 1+2) 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1)Robson 1 (CSR1):erakorraliste keisrilõigete osamäär esmassünnitajatel (üksiksünnitus, loote peaseis, raseduskestus &gt; =37 rasedusnädalat) 2)Robson2 (CSR2): keisrilõigete osamäär esmassünnitajatel (üksiksünnitus, loote peaseis, raseduskestus &gt; =37 rasedusnädalat), kellel sünnitus indutseeriti või keisrilõige tehti plaaniliselt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esmassünnitajatel ajalise üksiksünnituse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korral (Robson 1+2)</a:t>
          </a:r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01.01.2014-31.12.2016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(p.16)=0 -raseduskestus sünnituse hetkel (p.26)= &gt;=37 rasedusnädalat -sündis üks laps (täidetud p36.1) 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1: kõik sünnitused ülal kirjeldatud rühmas, kel sünnitus algas spontaanselt (st p 30.1 ja p 30.2 on sünnikaardil täitmata) ja sünnitasid vaginaalselt (täidetud p.28.1;28.2 või 28.3) või sünnitus toimus erakorralise keisrilõike teel (täidetud p.28.5)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2: kõik sünnitused ülal kirjeldatud rühmas, kel sünnitustegevus indutseeriti (täidetud p.30.1 või p.30.2) ja sünnitasid vaginaalselt (täidetud p.28.1;28.2 või 28.3) või sünnitus toimus erakorralise keisrilõike teel (täidetud p28.5) või sünnitus toimus plaanilise keisrilõike teel (täidetud p.28.4)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keisrilõigete osamäär kuni 17%.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1: erakorraliste keisrilõigete osamäär esmassünnitajatel (üksiksünnitus, loote peaseis ja ajaline sünnitus), kellel sünnitustegevus käivitus spontaanselt.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2: keisrilõigete osamäär esmassünnitajatel, kellel sünnitustegevus indutseeriti ja tehti keisrilõige või plaaniline keisrilõige tehti enne sünnitustegevuse algust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38100</xdr:rowOff>
    </xdr:from>
    <xdr:to>
      <xdr:col>18</xdr:col>
      <xdr:colOff>180975</xdr:colOff>
      <xdr:row>27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071318-6357-4600-BB1D-072FBA0F5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4</xdr:row>
      <xdr:rowOff>95250</xdr:rowOff>
    </xdr:from>
    <xdr:to>
      <xdr:col>14</xdr:col>
      <xdr:colOff>200025</xdr:colOff>
      <xdr:row>29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F31" sqref="F31"/>
    </sheetView>
  </sheetViews>
  <sheetFormatPr defaultRowHeight="15" x14ac:dyDescent="0.25"/>
  <sheetData>
    <row r="6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E6" sqref="E6:E27"/>
    </sheetView>
  </sheetViews>
  <sheetFormatPr defaultRowHeight="15" x14ac:dyDescent="0.25"/>
  <cols>
    <col min="1" max="1" width="15.85546875" customWidth="1"/>
    <col min="2" max="2" width="12.140625" customWidth="1"/>
    <col min="3" max="4" width="13.42578125" customWidth="1"/>
    <col min="5" max="5" width="13.85546875" customWidth="1"/>
    <col min="6" max="6" width="16" customWidth="1"/>
    <col min="7" max="7" width="7.5703125" customWidth="1"/>
    <col min="11" max="11" width="14.85546875" customWidth="1"/>
    <col min="12" max="12" width="18" customWidth="1"/>
    <col min="13" max="13" width="12.28515625" customWidth="1"/>
    <col min="14" max="14" width="12" customWidth="1"/>
  </cols>
  <sheetData>
    <row r="1" spans="1:25" x14ac:dyDescent="0.25">
      <c r="A1" s="1" t="s">
        <v>106</v>
      </c>
      <c r="B1" s="2"/>
      <c r="C1" s="3"/>
      <c r="D1" s="3"/>
      <c r="E1" s="3"/>
    </row>
    <row r="2" spans="1:25" x14ac:dyDescent="0.25">
      <c r="A2" s="4" t="s">
        <v>1</v>
      </c>
      <c r="B2" s="5"/>
      <c r="C2" s="4"/>
      <c r="D2" s="4"/>
      <c r="E2" s="4"/>
    </row>
    <row r="3" spans="1:25" x14ac:dyDescent="0.25">
      <c r="A3" s="31" t="s">
        <v>2</v>
      </c>
      <c r="B3" s="7"/>
      <c r="C3" s="8"/>
      <c r="D3" s="8"/>
      <c r="E3" s="8"/>
    </row>
    <row r="4" spans="1:25" ht="14.25" customHeight="1" x14ac:dyDescent="0.25">
      <c r="A4" s="7"/>
      <c r="B4" s="7"/>
      <c r="C4" s="8"/>
      <c r="D4" s="8"/>
      <c r="E4" s="8"/>
    </row>
    <row r="5" spans="1:25" ht="45" x14ac:dyDescent="0.25">
      <c r="A5" s="10"/>
      <c r="B5" s="12" t="s">
        <v>3</v>
      </c>
      <c r="C5" s="13" t="s">
        <v>27</v>
      </c>
      <c r="D5" s="13" t="s">
        <v>28</v>
      </c>
      <c r="E5" s="13" t="s">
        <v>104</v>
      </c>
      <c r="F5" s="13" t="s">
        <v>47</v>
      </c>
      <c r="G5" s="38"/>
      <c r="J5" s="42" t="s">
        <v>49</v>
      </c>
      <c r="K5" s="42" t="s">
        <v>50</v>
      </c>
      <c r="L5" s="42" t="s">
        <v>51</v>
      </c>
      <c r="M5" s="42" t="s">
        <v>52</v>
      </c>
    </row>
    <row r="6" spans="1:25" x14ac:dyDescent="0.25">
      <c r="A6" s="56" t="s">
        <v>5</v>
      </c>
      <c r="B6" s="9" t="s">
        <v>83</v>
      </c>
      <c r="C6" s="43">
        <f>VLOOKUP(B6,TAI!$A$6:$E$22,2,0)</f>
        <v>4765</v>
      </c>
      <c r="D6" s="43">
        <f>VLOOKUP(B6,TAI!$A$6:$E$22,3,0)</f>
        <v>817</v>
      </c>
      <c r="E6" s="16">
        <f>D6/C6</f>
        <v>0.17145855194123819</v>
      </c>
      <c r="F6" s="14" t="str">
        <f>VLOOKUP(B6,TAI!$A$6:$E$22,5,0)</f>
        <v>16,09‒18,25</v>
      </c>
      <c r="G6" s="40">
        <f>$E$27</f>
        <v>0.16702341570993059</v>
      </c>
      <c r="H6" s="41">
        <v>0.17</v>
      </c>
      <c r="I6" s="18"/>
      <c r="J6" s="18">
        <f>LEFT(F6,5)%</f>
        <v>0.16089999999999999</v>
      </c>
      <c r="K6" s="18">
        <f t="shared" ref="K6:K16" si="0">RIGHT(F6,5)%</f>
        <v>0.1825</v>
      </c>
      <c r="L6" s="18">
        <f t="shared" ref="L6:L27" si="1">E6-J6</f>
        <v>1.0558551941238198E-2</v>
      </c>
      <c r="M6" s="18">
        <f t="shared" ref="M6:M27" si="2">K6-E6</f>
        <v>1.104144805876181E-2</v>
      </c>
    </row>
    <row r="7" spans="1:25" x14ac:dyDescent="0.25">
      <c r="A7" s="57"/>
      <c r="B7" s="9" t="s">
        <v>84</v>
      </c>
      <c r="C7" s="43">
        <f>VLOOKUP(B7,TAI!$A$6:$E$22,2,0)</f>
        <v>4187</v>
      </c>
      <c r="D7" s="43">
        <f>VLOOKUP(B7,TAI!$A$6:$E$22,3,0)</f>
        <v>548</v>
      </c>
      <c r="E7" s="16">
        <f>D7/C7</f>
        <v>0.13088129925961309</v>
      </c>
      <c r="F7" s="14" t="str">
        <f>VLOOKUP(B7,TAI!$A$6:$E$22,5,0)</f>
        <v>12,08‒14,15</v>
      </c>
      <c r="G7" s="40">
        <f t="shared" ref="G7:G26" si="3">$E$27</f>
        <v>0.16702341570993059</v>
      </c>
      <c r="H7" s="41">
        <v>0.17</v>
      </c>
      <c r="I7" s="18"/>
      <c r="J7" s="18">
        <f t="shared" ref="J7:J12" si="4">LEFT(F7,5)%</f>
        <v>0.1208</v>
      </c>
      <c r="K7" s="18">
        <f t="shared" si="0"/>
        <v>0.14150000000000001</v>
      </c>
      <c r="L7" s="18">
        <f t="shared" si="1"/>
        <v>1.0081299259613083E-2</v>
      </c>
      <c r="M7" s="18">
        <f t="shared" si="2"/>
        <v>1.0618700740386927E-2</v>
      </c>
    </row>
    <row r="8" spans="1:25" x14ac:dyDescent="0.25">
      <c r="A8" s="57"/>
      <c r="B8" s="9" t="s">
        <v>85</v>
      </c>
      <c r="C8" s="43">
        <f>VLOOKUP(B8,TAI!$A$6:$E$22,2,0)</f>
        <v>2583</v>
      </c>
      <c r="D8" s="43">
        <f>VLOOKUP(B8,TAI!$A$6:$E$22,3,0)</f>
        <v>463</v>
      </c>
      <c r="E8" s="16">
        <f>D8/C8</f>
        <v>0.17924893534649633</v>
      </c>
      <c r="F8" s="14" t="str">
        <f>VLOOKUP(B8,TAI!$A$6:$E$22,5,0)</f>
        <v>16,46–19,46</v>
      </c>
      <c r="G8" s="40">
        <f t="shared" si="3"/>
        <v>0.16702341570993059</v>
      </c>
      <c r="H8" s="41">
        <v>0.17</v>
      </c>
      <c r="I8" s="18"/>
      <c r="J8" s="18">
        <f t="shared" si="4"/>
        <v>0.1646</v>
      </c>
      <c r="K8" s="18">
        <f t="shared" si="0"/>
        <v>0.1946</v>
      </c>
      <c r="L8" s="18">
        <f t="shared" si="1"/>
        <v>1.4648935346496333E-2</v>
      </c>
      <c r="M8" s="18">
        <f t="shared" si="2"/>
        <v>1.5351064653503665E-2</v>
      </c>
    </row>
    <row r="9" spans="1:25" x14ac:dyDescent="0.25">
      <c r="A9" s="58"/>
      <c r="B9" s="12" t="s">
        <v>7</v>
      </c>
      <c r="C9" s="29">
        <f>SUM(C6:C8)</f>
        <v>11535</v>
      </c>
      <c r="D9" s="29">
        <f>SUM(D6:D8)</f>
        <v>1828</v>
      </c>
      <c r="E9" s="17">
        <f>SUM(D9/C9)</f>
        <v>0.15847420892934547</v>
      </c>
      <c r="F9" s="19" t="s">
        <v>99</v>
      </c>
      <c r="G9" s="40">
        <f t="shared" si="3"/>
        <v>0.16702341570993059</v>
      </c>
      <c r="H9" s="41">
        <v>0.17</v>
      </c>
      <c r="I9" s="18"/>
      <c r="J9" s="18">
        <f t="shared" si="4"/>
        <v>0.15190000000000001</v>
      </c>
      <c r="K9" s="18">
        <f t="shared" si="0"/>
        <v>0.1653</v>
      </c>
      <c r="L9" s="18">
        <f t="shared" si="1"/>
        <v>6.5742089293454598E-3</v>
      </c>
      <c r="M9" s="18">
        <f t="shared" si="2"/>
        <v>6.8257910706545355E-3</v>
      </c>
    </row>
    <row r="10" spans="1:25" x14ac:dyDescent="0.25">
      <c r="A10" s="59" t="s">
        <v>8</v>
      </c>
      <c r="B10" s="9" t="s">
        <v>86</v>
      </c>
      <c r="C10" s="43">
        <f>VLOOKUP(B10,TAI!$A$6:$E$22,2,0)</f>
        <v>492</v>
      </c>
      <c r="D10" s="43">
        <f>VLOOKUP(B10,TAI!$A$6:$E$22,3,0)</f>
        <v>153</v>
      </c>
      <c r="E10" s="16">
        <f t="shared" ref="E10:E26" si="5">D10/C10</f>
        <v>0.31097560975609756</v>
      </c>
      <c r="F10" s="14" t="str">
        <f>VLOOKUP(B10,TAI!$A$6:$E$22,5,0)</f>
        <v>27,03–35,39</v>
      </c>
      <c r="G10" s="40">
        <f t="shared" si="3"/>
        <v>0.16702341570993059</v>
      </c>
      <c r="H10" s="41">
        <v>0.17</v>
      </c>
      <c r="I10" s="18"/>
      <c r="J10" s="18">
        <f t="shared" si="4"/>
        <v>0.27029999999999998</v>
      </c>
      <c r="K10" s="18">
        <f t="shared" si="0"/>
        <v>0.35389999999999999</v>
      </c>
      <c r="L10" s="18">
        <f t="shared" si="1"/>
        <v>4.0675609756097575E-2</v>
      </c>
      <c r="M10" s="18">
        <f t="shared" si="2"/>
        <v>4.2924390243902433E-2</v>
      </c>
    </row>
    <row r="11" spans="1:25" x14ac:dyDescent="0.25">
      <c r="A11" s="60"/>
      <c r="B11" s="9" t="s">
        <v>87</v>
      </c>
      <c r="C11" s="43">
        <f>VLOOKUP(B11,TAI!$A$6:$E$22,2,0)</f>
        <v>828</v>
      </c>
      <c r="D11" s="43">
        <f>VLOOKUP(B11,TAI!$A$6:$E$22,3,0)</f>
        <v>146</v>
      </c>
      <c r="E11" s="16">
        <f t="shared" si="5"/>
        <v>0.17632850241545894</v>
      </c>
      <c r="F11" s="14" t="str">
        <f>VLOOKUP(B11,TAI!$A$6:$E$22,5,0)</f>
        <v>15,10–20,40</v>
      </c>
      <c r="G11" s="40">
        <f t="shared" si="3"/>
        <v>0.16702341570993059</v>
      </c>
      <c r="H11" s="41">
        <v>0.17</v>
      </c>
      <c r="I11" s="18"/>
      <c r="J11" s="18">
        <f t="shared" si="4"/>
        <v>0.151</v>
      </c>
      <c r="K11" s="18">
        <f t="shared" si="0"/>
        <v>0.20399999999999999</v>
      </c>
      <c r="L11" s="18">
        <f t="shared" si="1"/>
        <v>2.5328502415458948E-2</v>
      </c>
      <c r="M11" s="18">
        <f t="shared" si="2"/>
        <v>2.7671497584541044E-2</v>
      </c>
    </row>
    <row r="12" spans="1:25" x14ac:dyDescent="0.25">
      <c r="A12" s="61"/>
      <c r="B12" s="11" t="s">
        <v>13</v>
      </c>
      <c r="C12" s="29">
        <f>SUM(C10:C11)</f>
        <v>1320</v>
      </c>
      <c r="D12" s="29">
        <f>SUM(D10:D11)</f>
        <v>299</v>
      </c>
      <c r="E12" s="17">
        <f>SUM(D12/C12)</f>
        <v>0.2265151515151515</v>
      </c>
      <c r="F12" s="19" t="s">
        <v>100</v>
      </c>
      <c r="G12" s="40">
        <f t="shared" si="3"/>
        <v>0.16702341570993059</v>
      </c>
      <c r="H12" s="41">
        <v>0.17</v>
      </c>
      <c r="I12" s="18"/>
      <c r="J12" s="18">
        <f t="shared" si="4"/>
        <v>0.20469999999999999</v>
      </c>
      <c r="K12" s="18">
        <f t="shared" si="0"/>
        <v>0.24989999999999998</v>
      </c>
      <c r="L12" s="18">
        <f t="shared" si="1"/>
        <v>2.181515151515151E-2</v>
      </c>
      <c r="M12" s="18">
        <f t="shared" si="2"/>
        <v>2.3384848484848481E-2</v>
      </c>
    </row>
    <row r="13" spans="1:25" x14ac:dyDescent="0.25">
      <c r="A13" s="59" t="s">
        <v>14</v>
      </c>
      <c r="B13" s="9" t="s">
        <v>88</v>
      </c>
      <c r="C13" s="43">
        <f>VLOOKUP(B13,TAI!$A$6:$E$22,2,0)</f>
        <v>46</v>
      </c>
      <c r="D13" s="43">
        <f>VLOOKUP(B13,TAI!$A$6:$E$22,3,0)</f>
        <v>1</v>
      </c>
      <c r="E13" s="16">
        <f t="shared" si="5"/>
        <v>2.1739130434782608E-2</v>
      </c>
      <c r="F13" s="14" t="str">
        <f>VLOOKUP(B13,TAI!$A$6:$E$22,5,0)</f>
        <v>0,06–11,53</v>
      </c>
      <c r="G13" s="40">
        <f t="shared" si="3"/>
        <v>0.16702341570993059</v>
      </c>
      <c r="H13" s="41">
        <v>0.17</v>
      </c>
      <c r="I13" s="18"/>
      <c r="J13" s="18" t="e">
        <f>LEFT(F13,5)%</f>
        <v>#VALUE!</v>
      </c>
      <c r="K13" s="18">
        <f t="shared" si="0"/>
        <v>0.1153</v>
      </c>
      <c r="L13" s="18" t="e">
        <f t="shared" si="1"/>
        <v>#VALUE!</v>
      </c>
      <c r="M13" s="18">
        <f t="shared" si="2"/>
        <v>9.3560869565217392E-2</v>
      </c>
      <c r="Y13" s="30"/>
    </row>
    <row r="14" spans="1:25" x14ac:dyDescent="0.25">
      <c r="A14" s="60"/>
      <c r="B14" s="9" t="s">
        <v>89</v>
      </c>
      <c r="C14" s="43">
        <f>VLOOKUP(B14,TAI!$A$6:$E$22,2,0)</f>
        <v>227</v>
      </c>
      <c r="D14" s="43">
        <f>VLOOKUP(B14,TAI!$A$6:$E$22,3,0)</f>
        <v>20</v>
      </c>
      <c r="E14" s="16">
        <f t="shared" si="5"/>
        <v>8.8105726872246701E-2</v>
      </c>
      <c r="F14" s="14" t="str">
        <f>VLOOKUP(B14,TAI!$A$6:$E$22,5,0)</f>
        <v>5,46–13,30</v>
      </c>
      <c r="G14" s="40">
        <f t="shared" si="3"/>
        <v>0.16702341570993059</v>
      </c>
      <c r="H14" s="41">
        <v>0.17</v>
      </c>
      <c r="I14" s="18"/>
      <c r="J14" s="18">
        <f t="shared" ref="J14:J17" si="6">LEFT(F14,4)%</f>
        <v>5.4600000000000003E-2</v>
      </c>
      <c r="K14" s="18">
        <f t="shared" si="0"/>
        <v>0.13300000000000001</v>
      </c>
      <c r="L14" s="18">
        <f t="shared" si="1"/>
        <v>3.3505726872246698E-2</v>
      </c>
      <c r="M14" s="18">
        <f t="shared" si="2"/>
        <v>4.4894273127753306E-2</v>
      </c>
    </row>
    <row r="15" spans="1:25" x14ac:dyDescent="0.25">
      <c r="A15" s="60"/>
      <c r="B15" s="9" t="s">
        <v>90</v>
      </c>
      <c r="C15" s="43">
        <f>VLOOKUP(B15,TAI!$A$6:$E$22,2,0)</f>
        <v>230</v>
      </c>
      <c r="D15" s="43">
        <f>VLOOKUP(B15,TAI!$A$6:$E$22,3,0)</f>
        <v>43</v>
      </c>
      <c r="E15" s="16">
        <f t="shared" si="5"/>
        <v>0.18695652173913044</v>
      </c>
      <c r="F15" s="14" t="str">
        <f>VLOOKUP(B15,TAI!$A$6:$E$22,5,0)</f>
        <v>13,87–24,34</v>
      </c>
      <c r="G15" s="40">
        <f t="shared" si="3"/>
        <v>0.16702341570993059</v>
      </c>
      <c r="H15" s="41">
        <v>0.17</v>
      </c>
      <c r="I15" s="18"/>
      <c r="J15" s="18">
        <f>LEFT(F15,5)%</f>
        <v>0.13869999999999999</v>
      </c>
      <c r="K15" s="18">
        <f t="shared" si="0"/>
        <v>0.24340000000000001</v>
      </c>
      <c r="L15" s="18">
        <f t="shared" si="1"/>
        <v>4.8256521739130448E-2</v>
      </c>
      <c r="M15" s="18">
        <f t="shared" si="2"/>
        <v>5.6443478260869567E-2</v>
      </c>
    </row>
    <row r="16" spans="1:25" x14ac:dyDescent="0.25">
      <c r="A16" s="60"/>
      <c r="B16" s="9" t="s">
        <v>91</v>
      </c>
      <c r="C16" s="43">
        <f>VLOOKUP(B16,TAI!$A$6:$E$22,2,0)</f>
        <v>315</v>
      </c>
      <c r="D16" s="43">
        <f>VLOOKUP(B16,TAI!$A$6:$E$22,3,0)</f>
        <v>54</v>
      </c>
      <c r="E16" s="16">
        <f t="shared" si="5"/>
        <v>0.17142857142857143</v>
      </c>
      <c r="F16" s="14" t="str">
        <f>VLOOKUP(B16,TAI!$A$6:$E$22,5,0)</f>
        <v>13,15–21,77</v>
      </c>
      <c r="G16" s="40">
        <f t="shared" si="3"/>
        <v>0.16702341570993059</v>
      </c>
      <c r="H16" s="41">
        <v>0.17</v>
      </c>
      <c r="I16" s="18"/>
      <c r="J16" s="18">
        <f t="shared" si="6"/>
        <v>0.13100000000000001</v>
      </c>
      <c r="K16" s="18">
        <f t="shared" si="0"/>
        <v>0.2177</v>
      </c>
      <c r="L16" s="18">
        <f t="shared" si="1"/>
        <v>4.0428571428571425E-2</v>
      </c>
      <c r="M16" s="18">
        <f t="shared" si="2"/>
        <v>4.6271428571428574E-2</v>
      </c>
    </row>
    <row r="17" spans="1:13" x14ac:dyDescent="0.25">
      <c r="A17" s="60"/>
      <c r="B17" s="9" t="s">
        <v>92</v>
      </c>
      <c r="C17" s="43">
        <f>VLOOKUP(B17,TAI!$A$6:$E$22,2,0)</f>
        <v>1</v>
      </c>
      <c r="D17" s="43">
        <f>VLOOKUP(B17,TAI!$A$6:$E$22,3,0)</f>
        <v>0</v>
      </c>
      <c r="E17" s="16">
        <f t="shared" si="5"/>
        <v>0</v>
      </c>
      <c r="F17" s="14">
        <f>VLOOKUP(B17,TAI!$A$6:$E$22,5,0)</f>
        <v>0</v>
      </c>
      <c r="G17" s="40">
        <f t="shared" si="3"/>
        <v>0.16702341570993059</v>
      </c>
      <c r="H17" s="41">
        <v>0.17</v>
      </c>
      <c r="I17" s="18"/>
      <c r="J17" s="18">
        <f t="shared" si="6"/>
        <v>0</v>
      </c>
      <c r="K17" s="18">
        <f>RIGHT(F17,4)%</f>
        <v>0</v>
      </c>
      <c r="L17" s="18">
        <f t="shared" si="1"/>
        <v>0</v>
      </c>
      <c r="M17" s="18">
        <f t="shared" si="2"/>
        <v>0</v>
      </c>
    </row>
    <row r="18" spans="1:13" x14ac:dyDescent="0.25">
      <c r="A18" s="60"/>
      <c r="B18" s="9" t="s">
        <v>93</v>
      </c>
      <c r="C18" s="43">
        <f>VLOOKUP(B18,TAI!$A$6:$E$22,2,0)</f>
        <v>549</v>
      </c>
      <c r="D18" s="43">
        <f>VLOOKUP(B18,TAI!$A$6:$E$22,3,0)</f>
        <v>127</v>
      </c>
      <c r="E18" s="16">
        <f t="shared" si="5"/>
        <v>0.23132969034608378</v>
      </c>
      <c r="F18" s="14" t="str">
        <f>VLOOKUP(B18,TAI!$A$6:$E$22,5,0)</f>
        <v>19,67–26,89</v>
      </c>
      <c r="G18" s="40">
        <f t="shared" si="3"/>
        <v>0.16702341570993059</v>
      </c>
      <c r="H18" s="41">
        <v>0.17</v>
      </c>
      <c r="I18" s="18"/>
      <c r="J18" s="18">
        <f t="shared" ref="J18:J27" si="7">LEFT(F18,5)%</f>
        <v>0.19670000000000001</v>
      </c>
      <c r="K18" s="18">
        <f t="shared" ref="K18:K27" si="8">RIGHT(F18,5)%</f>
        <v>0.26890000000000003</v>
      </c>
      <c r="L18" s="18">
        <f t="shared" si="1"/>
        <v>3.4629690346083764E-2</v>
      </c>
      <c r="M18" s="18">
        <f t="shared" si="2"/>
        <v>3.7570309653916251E-2</v>
      </c>
    </row>
    <row r="19" spans="1:13" x14ac:dyDescent="0.25">
      <c r="A19" s="60"/>
      <c r="B19" s="9" t="s">
        <v>94</v>
      </c>
      <c r="C19" s="43">
        <f>VLOOKUP(B19,TAI!$A$6:$E$22,2,0)</f>
        <v>242</v>
      </c>
      <c r="D19" s="43">
        <f>VLOOKUP(B19,TAI!$A$6:$E$22,3,0)</f>
        <v>31</v>
      </c>
      <c r="E19" s="16">
        <f t="shared" si="5"/>
        <v>0.128099173553719</v>
      </c>
      <c r="F19" s="14" t="str">
        <f>VLOOKUP(B19,TAI!$A$6:$E$22,5,0)</f>
        <v>8,87–17,69</v>
      </c>
      <c r="G19" s="40">
        <f t="shared" si="3"/>
        <v>0.16702341570993059</v>
      </c>
      <c r="H19" s="41">
        <v>0.17</v>
      </c>
      <c r="I19" s="18"/>
      <c r="J19" s="18" t="e">
        <f t="shared" si="7"/>
        <v>#VALUE!</v>
      </c>
      <c r="K19" s="18">
        <f t="shared" si="8"/>
        <v>0.1769</v>
      </c>
      <c r="L19" s="18" t="e">
        <f t="shared" si="1"/>
        <v>#VALUE!</v>
      </c>
      <c r="M19" s="18">
        <f t="shared" si="2"/>
        <v>4.8800826446281004E-2</v>
      </c>
    </row>
    <row r="20" spans="1:13" x14ac:dyDescent="0.25">
      <c r="A20" s="60"/>
      <c r="B20" s="9" t="s">
        <v>95</v>
      </c>
      <c r="C20" s="43">
        <f>VLOOKUP(B20,TAI!$A$6:$E$22,2,0)</f>
        <v>378</v>
      </c>
      <c r="D20" s="43">
        <f>VLOOKUP(B20,TAI!$A$6:$E$22,3,0)</f>
        <v>63</v>
      </c>
      <c r="E20" s="16">
        <f t="shared" si="5"/>
        <v>0.16666666666666666</v>
      </c>
      <c r="F20" s="14" t="str">
        <f>VLOOKUP(B20,TAI!$A$6:$E$22,5,0)</f>
        <v>13,05–20,81</v>
      </c>
      <c r="G20" s="40">
        <f t="shared" si="3"/>
        <v>0.16702341570993059</v>
      </c>
      <c r="H20" s="41">
        <v>0.17</v>
      </c>
      <c r="I20" s="18"/>
      <c r="J20" s="18">
        <f t="shared" si="7"/>
        <v>0.1305</v>
      </c>
      <c r="K20" s="18">
        <f t="shared" si="8"/>
        <v>0.20809999999999998</v>
      </c>
      <c r="L20" s="18">
        <f t="shared" si="1"/>
        <v>3.6166666666666653E-2</v>
      </c>
      <c r="M20" s="18">
        <f t="shared" si="2"/>
        <v>4.1433333333333322E-2</v>
      </c>
    </row>
    <row r="21" spans="1:13" x14ac:dyDescent="0.25">
      <c r="A21" s="60"/>
      <c r="B21" s="9" t="s">
        <v>96</v>
      </c>
      <c r="C21" s="43">
        <f>VLOOKUP(B21,TAI!$A$6:$E$22,2,0)</f>
        <v>127</v>
      </c>
      <c r="D21" s="43">
        <f>VLOOKUP(B21,TAI!$A$6:$E$22,3,0)</f>
        <v>24</v>
      </c>
      <c r="E21" s="16">
        <f t="shared" si="5"/>
        <v>0.1889763779527559</v>
      </c>
      <c r="F21" s="14" t="str">
        <f>VLOOKUP(B21,TAI!$A$6:$E$22,5,0)</f>
        <v>12,50–26,80</v>
      </c>
      <c r="G21" s="40">
        <f t="shared" si="3"/>
        <v>0.16702341570993059</v>
      </c>
      <c r="H21" s="41">
        <v>0.17</v>
      </c>
      <c r="I21" s="18"/>
      <c r="J21" s="18">
        <f t="shared" si="7"/>
        <v>0.125</v>
      </c>
      <c r="K21" s="18">
        <f t="shared" si="8"/>
        <v>0.26800000000000002</v>
      </c>
      <c r="L21" s="18">
        <f t="shared" si="1"/>
        <v>6.3976377952755903E-2</v>
      </c>
      <c r="M21" s="18">
        <f t="shared" si="2"/>
        <v>7.9023622047244113E-2</v>
      </c>
    </row>
    <row r="22" spans="1:13" x14ac:dyDescent="0.25">
      <c r="A22" s="60"/>
      <c r="B22" s="9" t="s">
        <v>97</v>
      </c>
      <c r="C22" s="43">
        <f>VLOOKUP(B22,TAI!$A$6:$E$22,2,0)</f>
        <v>382</v>
      </c>
      <c r="D22" s="43">
        <f>VLOOKUP(B22,TAI!$A$6:$E$22,3,0)</f>
        <v>51</v>
      </c>
      <c r="E22" s="16">
        <f t="shared" si="5"/>
        <v>0.13350785340314136</v>
      </c>
      <c r="F22" s="14" t="str">
        <f>VLOOKUP(B22,TAI!$A$6:$E$22,5,0)</f>
        <v>10,10–17,18</v>
      </c>
      <c r="G22" s="40">
        <f t="shared" si="3"/>
        <v>0.16702341570993059</v>
      </c>
      <c r="H22" s="41">
        <v>0.17</v>
      </c>
      <c r="I22" s="18"/>
      <c r="J22" s="18">
        <f t="shared" si="7"/>
        <v>0.10099999999999999</v>
      </c>
      <c r="K22" s="18">
        <f t="shared" si="8"/>
        <v>0.17180000000000001</v>
      </c>
      <c r="L22" s="18">
        <f t="shared" si="1"/>
        <v>3.2507853403141371E-2</v>
      </c>
      <c r="M22" s="18">
        <f t="shared" si="2"/>
        <v>3.8292146596858645E-2</v>
      </c>
    </row>
    <row r="23" spans="1:13" x14ac:dyDescent="0.25">
      <c r="A23" s="61"/>
      <c r="B23" s="11" t="s">
        <v>25</v>
      </c>
      <c r="C23" s="29">
        <f>SUM(C13:C22)</f>
        <v>2497</v>
      </c>
      <c r="D23" s="29">
        <f>SUM(D13:D22)</f>
        <v>414</v>
      </c>
      <c r="E23" s="17">
        <f t="shared" si="5"/>
        <v>0.1657989587505006</v>
      </c>
      <c r="F23" s="19" t="s">
        <v>101</v>
      </c>
      <c r="G23" s="40">
        <f t="shared" si="3"/>
        <v>0.16702341570993059</v>
      </c>
      <c r="H23" s="41">
        <v>0.17</v>
      </c>
      <c r="I23" s="18"/>
      <c r="J23" s="18">
        <f t="shared" si="7"/>
        <v>0.1515</v>
      </c>
      <c r="K23" s="18">
        <f t="shared" si="8"/>
        <v>0.18109999999999998</v>
      </c>
      <c r="L23" s="18">
        <f t="shared" si="1"/>
        <v>1.4298958750500607E-2</v>
      </c>
      <c r="M23" s="18">
        <f t="shared" si="2"/>
        <v>1.5301041249499381E-2</v>
      </c>
    </row>
    <row r="24" spans="1:13" x14ac:dyDescent="0.25">
      <c r="A24" s="62" t="s">
        <v>26</v>
      </c>
      <c r="B24" s="9" t="s">
        <v>98</v>
      </c>
      <c r="C24" s="43">
        <f>VLOOKUP(B24,TAI!$A$6:$E$22,2,0)</f>
        <v>65</v>
      </c>
      <c r="D24" s="43">
        <f>VLOOKUP(B24,TAI!$A$6:$E$22,3,0)</f>
        <v>34</v>
      </c>
      <c r="E24" s="16">
        <f>D24/C24</f>
        <v>0.52307692307692311</v>
      </c>
      <c r="F24" s="14" t="str">
        <f>VLOOKUP(B24,TAI!$A$6:$E$22,5,0)</f>
        <v>39,54–64,85</v>
      </c>
      <c r="G24" s="40">
        <f t="shared" si="3"/>
        <v>0.16702341570993059</v>
      </c>
      <c r="H24" s="41">
        <v>0.17</v>
      </c>
      <c r="I24" s="18"/>
      <c r="J24" s="18">
        <f t="shared" si="7"/>
        <v>0.39539999999999997</v>
      </c>
      <c r="K24" s="18">
        <f t="shared" si="8"/>
        <v>0.64849999999999997</v>
      </c>
      <c r="L24" s="18">
        <f t="shared" si="1"/>
        <v>0.12767692307692313</v>
      </c>
      <c r="M24" s="18">
        <f t="shared" si="2"/>
        <v>0.12542307692307686</v>
      </c>
    </row>
    <row r="25" spans="1:13" x14ac:dyDescent="0.25">
      <c r="A25" s="63"/>
      <c r="B25" s="37" t="s">
        <v>43</v>
      </c>
      <c r="C25" s="44">
        <f>C24</f>
        <v>65</v>
      </c>
      <c r="D25" s="44">
        <f>D24</f>
        <v>34</v>
      </c>
      <c r="E25" s="17">
        <f t="shared" si="5"/>
        <v>0.52307692307692311</v>
      </c>
      <c r="F25" s="19" t="s">
        <v>102</v>
      </c>
      <c r="G25" s="40">
        <f t="shared" si="3"/>
        <v>0.16702341570993059</v>
      </c>
      <c r="H25" s="41">
        <v>0.17</v>
      </c>
      <c r="I25" s="18"/>
      <c r="J25" s="18">
        <f t="shared" si="7"/>
        <v>0.40380000000000005</v>
      </c>
      <c r="K25" s="18">
        <f t="shared" si="8"/>
        <v>0.63979999999999992</v>
      </c>
      <c r="L25" s="18">
        <f t="shared" si="1"/>
        <v>0.11927692307692306</v>
      </c>
      <c r="M25" s="18">
        <f t="shared" si="2"/>
        <v>0.11672307692307682</v>
      </c>
    </row>
    <row r="26" spans="1:13" ht="45" x14ac:dyDescent="0.25">
      <c r="A26" s="27" t="s">
        <v>57</v>
      </c>
      <c r="B26" s="28" t="s">
        <v>58</v>
      </c>
      <c r="C26" s="29">
        <f>SUM(C12,C23,C25)</f>
        <v>3882</v>
      </c>
      <c r="D26" s="29">
        <f>SUM(D12,D23,D25)</f>
        <v>747</v>
      </c>
      <c r="E26" s="17">
        <f t="shared" si="5"/>
        <v>0.19242658423493045</v>
      </c>
      <c r="F26" s="19" t="s">
        <v>103</v>
      </c>
      <c r="G26" s="40">
        <f t="shared" si="3"/>
        <v>0.16702341570993059</v>
      </c>
      <c r="H26" s="41">
        <v>0.17</v>
      </c>
      <c r="I26" s="18"/>
      <c r="J26" s="18">
        <f t="shared" si="7"/>
        <v>0.18030000000000002</v>
      </c>
      <c r="K26" s="18">
        <f t="shared" si="8"/>
        <v>0.2051</v>
      </c>
      <c r="L26" s="18">
        <f t="shared" si="1"/>
        <v>1.2126584234930432E-2</v>
      </c>
      <c r="M26" s="18">
        <f t="shared" si="2"/>
        <v>1.2673415765069557E-2</v>
      </c>
    </row>
    <row r="27" spans="1:13" x14ac:dyDescent="0.25">
      <c r="A27" s="10"/>
      <c r="B27" s="12" t="s">
        <v>46</v>
      </c>
      <c r="C27" s="29">
        <f>SUM(C9+C12+C23+C25)</f>
        <v>15417</v>
      </c>
      <c r="D27" s="29">
        <f>SUM(D9+D12+D23+D25)</f>
        <v>2575</v>
      </c>
      <c r="E27" s="17">
        <f>D27/C27</f>
        <v>0.16702341570993059</v>
      </c>
      <c r="F27" s="19" t="s">
        <v>81</v>
      </c>
      <c r="G27" s="39"/>
      <c r="H27" s="18" t="e">
        <f>#REF!</f>
        <v>#REF!</v>
      </c>
      <c r="I27" s="18"/>
      <c r="J27" s="18">
        <f t="shared" si="7"/>
        <v>0.16120000000000001</v>
      </c>
      <c r="K27" s="18">
        <f t="shared" si="8"/>
        <v>0.17300000000000001</v>
      </c>
      <c r="L27" s="18">
        <f t="shared" si="1"/>
        <v>5.823415709930585E-3</v>
      </c>
      <c r="M27" s="18">
        <f t="shared" si="2"/>
        <v>5.9765842900694199E-3</v>
      </c>
    </row>
  </sheetData>
  <mergeCells count="4"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workbookViewId="0">
      <selection activeCell="I46" sqref="I46"/>
    </sheetView>
  </sheetViews>
  <sheetFormatPr defaultRowHeight="15" x14ac:dyDescent="0.25"/>
  <cols>
    <col min="1" max="1" width="15.85546875" customWidth="1"/>
    <col min="2" max="2" width="12.140625" customWidth="1"/>
    <col min="3" max="4" width="13.42578125" customWidth="1"/>
    <col min="5" max="5" width="13.85546875" customWidth="1"/>
    <col min="6" max="6" width="16" customWidth="1"/>
    <col min="9" max="9" width="14.85546875" customWidth="1"/>
    <col min="10" max="10" width="18" customWidth="1"/>
    <col min="11" max="11" width="12.28515625" customWidth="1"/>
    <col min="12" max="12" width="12" customWidth="1"/>
  </cols>
  <sheetData>
    <row r="2" spans="1:23" x14ac:dyDescent="0.25">
      <c r="A2" s="1" t="s">
        <v>0</v>
      </c>
      <c r="B2" s="2"/>
      <c r="C2" s="3"/>
      <c r="D2" s="3"/>
      <c r="E2" s="3"/>
    </row>
    <row r="3" spans="1:23" x14ac:dyDescent="0.25">
      <c r="A3" s="4" t="s">
        <v>1</v>
      </c>
      <c r="B3" s="5"/>
      <c r="C3" s="4"/>
      <c r="D3" s="4"/>
      <c r="E3" s="4"/>
    </row>
    <row r="4" spans="1:23" x14ac:dyDescent="0.25">
      <c r="A4" s="31" t="s">
        <v>2</v>
      </c>
      <c r="B4" s="7"/>
      <c r="C4" s="8"/>
      <c r="D4" s="8"/>
      <c r="E4" s="8"/>
    </row>
    <row r="5" spans="1:23" ht="14.25" customHeight="1" x14ac:dyDescent="0.25">
      <c r="A5" s="7"/>
      <c r="B5" s="7"/>
      <c r="C5" s="8"/>
      <c r="D5" s="8"/>
      <c r="E5" s="8"/>
    </row>
    <row r="6" spans="1:23" ht="45" x14ac:dyDescent="0.25">
      <c r="A6" s="10"/>
      <c r="B6" s="12" t="s">
        <v>3</v>
      </c>
      <c r="C6" s="13" t="s">
        <v>27</v>
      </c>
      <c r="D6" s="13" t="s">
        <v>28</v>
      </c>
      <c r="E6" s="13" t="s">
        <v>105</v>
      </c>
      <c r="F6" s="13" t="s">
        <v>47</v>
      </c>
      <c r="H6" s="20" t="s">
        <v>49</v>
      </c>
      <c r="I6" s="20" t="s">
        <v>50</v>
      </c>
      <c r="J6" s="20" t="s">
        <v>51</v>
      </c>
      <c r="K6" s="20" t="s">
        <v>52</v>
      </c>
    </row>
    <row r="7" spans="1:23" x14ac:dyDescent="0.25">
      <c r="A7" s="59" t="s">
        <v>5</v>
      </c>
      <c r="B7" s="9" t="s">
        <v>9</v>
      </c>
      <c r="C7" s="10">
        <v>4539</v>
      </c>
      <c r="D7" s="10">
        <v>771</v>
      </c>
      <c r="E7" s="16">
        <f>D7/C7</f>
        <v>0.16986120290812953</v>
      </c>
      <c r="F7" s="14" t="s">
        <v>30</v>
      </c>
      <c r="G7" s="18">
        <v>0.17</v>
      </c>
      <c r="H7" s="21">
        <f>LEFT(F7,5)%</f>
        <v>0.159</v>
      </c>
      <c r="I7" s="21">
        <f>RIGHT(F7,5)%</f>
        <v>0.18109999999999998</v>
      </c>
      <c r="J7" s="21">
        <f>E7-H7</f>
        <v>1.086120290812953E-2</v>
      </c>
      <c r="K7" s="21">
        <f>I7-E7</f>
        <v>1.1238797091870451E-2</v>
      </c>
    </row>
    <row r="8" spans="1:23" x14ac:dyDescent="0.25">
      <c r="A8" s="60"/>
      <c r="B8" s="9" t="s">
        <v>11</v>
      </c>
      <c r="C8" s="10">
        <v>4269</v>
      </c>
      <c r="D8" s="10">
        <v>544</v>
      </c>
      <c r="E8" s="16">
        <f>D8/C8</f>
        <v>0.12743031154837198</v>
      </c>
      <c r="F8" s="14" t="s">
        <v>32</v>
      </c>
      <c r="G8" s="18">
        <v>0.17</v>
      </c>
      <c r="H8" s="21">
        <f t="shared" ref="H8:H13" si="0">LEFT(F8,5)%</f>
        <v>0.1176</v>
      </c>
      <c r="I8" s="21">
        <f t="shared" ref="I8:I27" si="1">RIGHT(F8,5)%</f>
        <v>0.13780000000000001</v>
      </c>
      <c r="J8" s="21">
        <f t="shared" ref="J8:J27" si="2">E8-H8</f>
        <v>9.8303115483719811E-3</v>
      </c>
      <c r="K8" s="21">
        <f t="shared" ref="K8:K27" si="3">I8-E8</f>
        <v>1.0369688451628029E-2</v>
      </c>
    </row>
    <row r="9" spans="1:23" x14ac:dyDescent="0.25">
      <c r="A9" s="60"/>
      <c r="B9" s="9" t="s">
        <v>6</v>
      </c>
      <c r="C9" s="10">
        <v>2591</v>
      </c>
      <c r="D9" s="10">
        <v>445</v>
      </c>
      <c r="E9" s="16">
        <f>D9/C9</f>
        <v>0.17174835970667696</v>
      </c>
      <c r="F9" s="14" t="s">
        <v>29</v>
      </c>
      <c r="G9" s="18">
        <v>0.17</v>
      </c>
      <c r="H9" s="21">
        <f t="shared" si="0"/>
        <v>0.15740000000000001</v>
      </c>
      <c r="I9" s="21">
        <f t="shared" si="1"/>
        <v>0.18679999999999999</v>
      </c>
      <c r="J9" s="21">
        <f t="shared" si="2"/>
        <v>1.4348359706676944E-2</v>
      </c>
      <c r="K9" s="21">
        <f t="shared" si="3"/>
        <v>1.5051640293323038E-2</v>
      </c>
    </row>
    <row r="10" spans="1:23" x14ac:dyDescent="0.25">
      <c r="A10" s="61"/>
      <c r="B10" s="11" t="s">
        <v>7</v>
      </c>
      <c r="C10" s="12">
        <f>SUM(C7:C9)</f>
        <v>11399</v>
      </c>
      <c r="D10" s="12">
        <f>SUM(D7:D9)</f>
        <v>1760</v>
      </c>
      <c r="E10" s="17">
        <f>SUM(D10/C10)</f>
        <v>0.15439950872883587</v>
      </c>
      <c r="F10" s="19" t="s">
        <v>59</v>
      </c>
      <c r="G10" s="18">
        <v>0.17</v>
      </c>
      <c r="H10" s="21">
        <f t="shared" si="0"/>
        <v>0.14779999999999999</v>
      </c>
      <c r="I10" s="21">
        <f t="shared" si="1"/>
        <v>0.16120000000000001</v>
      </c>
      <c r="J10" s="21">
        <f t="shared" si="2"/>
        <v>6.5995087288358845E-3</v>
      </c>
      <c r="K10" s="21">
        <f t="shared" si="3"/>
        <v>6.8004912711641385E-3</v>
      </c>
    </row>
    <row r="11" spans="1:23" x14ac:dyDescent="0.25">
      <c r="A11" s="59" t="s">
        <v>8</v>
      </c>
      <c r="B11" s="9" t="s">
        <v>10</v>
      </c>
      <c r="C11" s="10">
        <v>487</v>
      </c>
      <c r="D11" s="10">
        <v>148</v>
      </c>
      <c r="E11" s="16">
        <f t="shared" ref="E11:E27" si="4">D11/C11</f>
        <v>0.30390143737166325</v>
      </c>
      <c r="F11" s="14" t="s">
        <v>31</v>
      </c>
      <c r="G11" s="18">
        <v>0.17</v>
      </c>
      <c r="H11" s="21">
        <f t="shared" si="0"/>
        <v>0.26329999999999998</v>
      </c>
      <c r="I11" s="21">
        <f t="shared" si="1"/>
        <v>0.34689999999999999</v>
      </c>
      <c r="J11" s="21">
        <f t="shared" si="2"/>
        <v>4.0601437371663274E-2</v>
      </c>
      <c r="K11" s="21">
        <f t="shared" si="3"/>
        <v>4.2998562628336734E-2</v>
      </c>
    </row>
    <row r="12" spans="1:23" x14ac:dyDescent="0.25">
      <c r="A12" s="60"/>
      <c r="B12" s="9" t="s">
        <v>12</v>
      </c>
      <c r="C12" s="10">
        <v>856</v>
      </c>
      <c r="D12" s="10">
        <v>155</v>
      </c>
      <c r="E12" s="16">
        <f t="shared" si="4"/>
        <v>0.18107476635514019</v>
      </c>
      <c r="F12" s="14" t="s">
        <v>33</v>
      </c>
      <c r="G12" s="18">
        <v>0.17</v>
      </c>
      <c r="H12" s="21">
        <f t="shared" si="0"/>
        <v>0.15579999999999999</v>
      </c>
      <c r="I12" s="21">
        <f t="shared" si="1"/>
        <v>0.20850000000000002</v>
      </c>
      <c r="J12" s="21">
        <f t="shared" si="2"/>
        <v>2.5274766355140199E-2</v>
      </c>
      <c r="K12" s="21">
        <f t="shared" si="3"/>
        <v>2.7425233644859826E-2</v>
      </c>
    </row>
    <row r="13" spans="1:23" x14ac:dyDescent="0.25">
      <c r="A13" s="61"/>
      <c r="B13" s="11" t="s">
        <v>13</v>
      </c>
      <c r="C13" s="12">
        <f>SUM(C11:C12)</f>
        <v>1343</v>
      </c>
      <c r="D13" s="12">
        <f>SUM(D11:D12)</f>
        <v>303</v>
      </c>
      <c r="E13" s="17">
        <f>SUM(D13/C13)</f>
        <v>0.22561429635145197</v>
      </c>
      <c r="F13" s="19" t="s">
        <v>60</v>
      </c>
      <c r="G13" s="18">
        <v>0.17</v>
      </c>
      <c r="H13" s="21">
        <f t="shared" si="0"/>
        <v>0.20350000000000001</v>
      </c>
      <c r="I13" s="21">
        <f t="shared" si="1"/>
        <v>0.24890000000000001</v>
      </c>
      <c r="J13" s="21">
        <f t="shared" si="2"/>
        <v>2.2114296351451956E-2</v>
      </c>
      <c r="K13" s="21">
        <f t="shared" si="3"/>
        <v>2.328570364854804E-2</v>
      </c>
    </row>
    <row r="14" spans="1:23" x14ac:dyDescent="0.25">
      <c r="A14" s="59" t="s">
        <v>14</v>
      </c>
      <c r="B14" s="9" t="s">
        <v>15</v>
      </c>
      <c r="C14" s="10">
        <v>44</v>
      </c>
      <c r="D14" s="10">
        <v>1</v>
      </c>
      <c r="E14" s="16">
        <f t="shared" si="4"/>
        <v>2.2727272727272728E-2</v>
      </c>
      <c r="F14" s="14" t="s">
        <v>34</v>
      </c>
      <c r="G14" s="18">
        <v>0.17</v>
      </c>
      <c r="H14" s="21">
        <f>LEFT(F14,5)%</f>
        <v>5.9999999999999995E-4</v>
      </c>
      <c r="I14" s="21">
        <f t="shared" si="1"/>
        <v>0.1202</v>
      </c>
      <c r="J14" s="21">
        <f t="shared" si="2"/>
        <v>2.2127272727272728E-2</v>
      </c>
      <c r="K14" s="21">
        <f t="shared" si="3"/>
        <v>9.7472727272727266E-2</v>
      </c>
      <c r="W14" s="30"/>
    </row>
    <row r="15" spans="1:23" x14ac:dyDescent="0.25">
      <c r="A15" s="60"/>
      <c r="B15" s="9" t="s">
        <v>16</v>
      </c>
      <c r="C15" s="10">
        <v>241</v>
      </c>
      <c r="D15" s="10">
        <v>21</v>
      </c>
      <c r="E15" s="16">
        <f t="shared" si="4"/>
        <v>8.7136929460580909E-2</v>
      </c>
      <c r="F15" s="14" t="s">
        <v>35</v>
      </c>
      <c r="G15" s="18">
        <v>0.17</v>
      </c>
      <c r="H15" s="21">
        <f t="shared" ref="H15:H18" si="5">LEFT(F15,4)%</f>
        <v>5.4699999999999999E-2</v>
      </c>
      <c r="I15" s="21">
        <f t="shared" si="1"/>
        <v>0.13009999999999999</v>
      </c>
      <c r="J15" s="21">
        <f t="shared" si="2"/>
        <v>3.243692946058091E-2</v>
      </c>
      <c r="K15" s="21">
        <f t="shared" si="3"/>
        <v>4.2963070539419085E-2</v>
      </c>
    </row>
    <row r="16" spans="1:23" x14ac:dyDescent="0.25">
      <c r="A16" s="60"/>
      <c r="B16" s="9" t="s">
        <v>17</v>
      </c>
      <c r="C16" s="10">
        <v>248</v>
      </c>
      <c r="D16" s="10">
        <v>54</v>
      </c>
      <c r="E16" s="16">
        <f t="shared" si="4"/>
        <v>0.21774193548387097</v>
      </c>
      <c r="F16" s="14" t="s">
        <v>36</v>
      </c>
      <c r="G16" s="18">
        <v>0.17</v>
      </c>
      <c r="H16" s="21">
        <f>LEFT(F16,5)%</f>
        <v>0.16800000000000001</v>
      </c>
      <c r="I16" s="21">
        <f t="shared" si="1"/>
        <v>0.27440000000000003</v>
      </c>
      <c r="J16" s="21">
        <f t="shared" si="2"/>
        <v>4.9741935483870958E-2</v>
      </c>
      <c r="K16" s="21">
        <f t="shared" si="3"/>
        <v>5.6658064516129064E-2</v>
      </c>
    </row>
    <row r="17" spans="1:11" x14ac:dyDescent="0.25">
      <c r="A17" s="60"/>
      <c r="B17" s="9" t="s">
        <v>18</v>
      </c>
      <c r="C17" s="10">
        <v>324</v>
      </c>
      <c r="D17" s="10">
        <v>49</v>
      </c>
      <c r="E17" s="16">
        <f t="shared" si="4"/>
        <v>0.15123456790123457</v>
      </c>
      <c r="F17" s="14" t="s">
        <v>37</v>
      </c>
      <c r="G17" s="18">
        <v>0.17</v>
      </c>
      <c r="H17" s="21">
        <f t="shared" si="5"/>
        <v>0.114</v>
      </c>
      <c r="I17" s="21">
        <f t="shared" si="1"/>
        <v>0.19500000000000001</v>
      </c>
      <c r="J17" s="21">
        <f t="shared" si="2"/>
        <v>3.7234567901234569E-2</v>
      </c>
      <c r="K17" s="21">
        <f t="shared" si="3"/>
        <v>4.3765432098765433E-2</v>
      </c>
    </row>
    <row r="18" spans="1:11" x14ac:dyDescent="0.25">
      <c r="A18" s="60"/>
      <c r="B18" s="9" t="s">
        <v>19</v>
      </c>
      <c r="C18" s="10">
        <v>1</v>
      </c>
      <c r="D18" s="10">
        <v>0</v>
      </c>
      <c r="E18" s="16">
        <f t="shared" si="4"/>
        <v>0</v>
      </c>
      <c r="F18" s="14" t="s">
        <v>48</v>
      </c>
      <c r="G18" s="18">
        <v>0.17</v>
      </c>
      <c r="H18" s="21">
        <f t="shared" si="5"/>
        <v>0</v>
      </c>
      <c r="I18" s="21">
        <f>RIGHT(F18,4)%</f>
        <v>9.7500000000000003E-2</v>
      </c>
      <c r="J18" s="21">
        <f t="shared" si="2"/>
        <v>0</v>
      </c>
      <c r="K18" s="21">
        <f t="shared" si="3"/>
        <v>9.7500000000000003E-2</v>
      </c>
    </row>
    <row r="19" spans="1:11" x14ac:dyDescent="0.25">
      <c r="A19" s="60"/>
      <c r="B19" s="9" t="s">
        <v>20</v>
      </c>
      <c r="C19" s="10">
        <v>630</v>
      </c>
      <c r="D19" s="10">
        <v>152</v>
      </c>
      <c r="E19" s="16">
        <f t="shared" si="4"/>
        <v>0.24126984126984127</v>
      </c>
      <c r="F19" s="14" t="s">
        <v>38</v>
      </c>
      <c r="G19" s="18">
        <v>0.17</v>
      </c>
      <c r="H19" s="21">
        <f>LEFT(F19,5)%</f>
        <v>0.20829999999999999</v>
      </c>
      <c r="I19" s="21">
        <f t="shared" si="1"/>
        <v>0.27660000000000001</v>
      </c>
      <c r="J19" s="21">
        <f t="shared" si="2"/>
        <v>3.2969841269841288E-2</v>
      </c>
      <c r="K19" s="21">
        <f t="shared" si="3"/>
        <v>3.5330158730158739E-2</v>
      </c>
    </row>
    <row r="20" spans="1:11" x14ac:dyDescent="0.25">
      <c r="A20" s="60"/>
      <c r="B20" s="9" t="s">
        <v>21</v>
      </c>
      <c r="C20" s="10">
        <v>290</v>
      </c>
      <c r="D20" s="10">
        <v>45</v>
      </c>
      <c r="E20" s="16">
        <f t="shared" si="4"/>
        <v>0.15517241379310345</v>
      </c>
      <c r="F20" s="14" t="s">
        <v>39</v>
      </c>
      <c r="G20" s="18">
        <v>0.17</v>
      </c>
      <c r="H20" s="21">
        <f t="shared" ref="H20:H27" si="6">LEFT(F20,5)%</f>
        <v>0.11550000000000001</v>
      </c>
      <c r="I20" s="21">
        <f t="shared" si="1"/>
        <v>0.2021</v>
      </c>
      <c r="J20" s="21">
        <f t="shared" si="2"/>
        <v>3.9672413793103448E-2</v>
      </c>
      <c r="K20" s="21">
        <f t="shared" si="3"/>
        <v>4.6927586206896549E-2</v>
      </c>
    </row>
    <row r="21" spans="1:11" x14ac:dyDescent="0.25">
      <c r="A21" s="60"/>
      <c r="B21" s="9" t="s">
        <v>22</v>
      </c>
      <c r="C21" s="10">
        <v>406</v>
      </c>
      <c r="D21" s="10">
        <v>64</v>
      </c>
      <c r="E21" s="16">
        <f t="shared" si="4"/>
        <v>0.15763546798029557</v>
      </c>
      <c r="F21" s="14" t="s">
        <v>40</v>
      </c>
      <c r="G21" s="18">
        <v>0.17</v>
      </c>
      <c r="H21" s="21">
        <f t="shared" si="6"/>
        <v>0.12359999999999999</v>
      </c>
      <c r="I21" s="21">
        <f t="shared" si="1"/>
        <v>0.1968</v>
      </c>
      <c r="J21" s="21">
        <f t="shared" si="2"/>
        <v>3.4035467980295581E-2</v>
      </c>
      <c r="K21" s="21">
        <f t="shared" si="3"/>
        <v>3.9164532019704434E-2</v>
      </c>
    </row>
    <row r="22" spans="1:11" x14ac:dyDescent="0.25">
      <c r="A22" s="60"/>
      <c r="B22" s="9" t="s">
        <v>23</v>
      </c>
      <c r="C22" s="10">
        <v>406</v>
      </c>
      <c r="D22" s="10">
        <v>64</v>
      </c>
      <c r="E22" s="16">
        <f t="shared" si="4"/>
        <v>0.15763546798029557</v>
      </c>
      <c r="F22" s="14" t="s">
        <v>40</v>
      </c>
      <c r="G22" s="18">
        <v>0.17</v>
      </c>
      <c r="H22" s="21">
        <f t="shared" si="6"/>
        <v>0.12359999999999999</v>
      </c>
      <c r="I22" s="21">
        <f t="shared" si="1"/>
        <v>0.1968</v>
      </c>
      <c r="J22" s="21">
        <f t="shared" si="2"/>
        <v>3.4035467980295581E-2</v>
      </c>
      <c r="K22" s="21">
        <f t="shared" si="3"/>
        <v>3.9164532019704434E-2</v>
      </c>
    </row>
    <row r="23" spans="1:11" x14ac:dyDescent="0.25">
      <c r="A23" s="60"/>
      <c r="B23" s="9" t="s">
        <v>24</v>
      </c>
      <c r="C23" s="10">
        <v>406</v>
      </c>
      <c r="D23" s="10">
        <v>64</v>
      </c>
      <c r="E23" s="16">
        <f t="shared" si="4"/>
        <v>0.15763546798029557</v>
      </c>
      <c r="F23" s="14" t="s">
        <v>40</v>
      </c>
      <c r="G23" s="18">
        <v>0.17</v>
      </c>
      <c r="H23" s="21">
        <f t="shared" si="6"/>
        <v>0.12359999999999999</v>
      </c>
      <c r="I23" s="21">
        <f t="shared" si="1"/>
        <v>0.1968</v>
      </c>
      <c r="J23" s="21">
        <f t="shared" si="2"/>
        <v>3.4035467980295581E-2</v>
      </c>
      <c r="K23" s="21">
        <f t="shared" si="3"/>
        <v>3.9164532019704434E-2</v>
      </c>
    </row>
    <row r="24" spans="1:11" x14ac:dyDescent="0.25">
      <c r="A24" s="61"/>
      <c r="B24" s="11" t="s">
        <v>25</v>
      </c>
      <c r="C24" s="12">
        <f>SUM(C14:C23)</f>
        <v>2996</v>
      </c>
      <c r="D24" s="12">
        <f>SUM(D14:D23)</f>
        <v>514</v>
      </c>
      <c r="E24" s="17">
        <f t="shared" si="4"/>
        <v>0.17156208277703605</v>
      </c>
      <c r="F24" s="19" t="s">
        <v>61</v>
      </c>
      <c r="G24" s="18">
        <v>0.17</v>
      </c>
      <c r="H24" s="21">
        <f t="shared" si="6"/>
        <v>0.15820000000000001</v>
      </c>
      <c r="I24" s="21">
        <f t="shared" si="1"/>
        <v>0.1855</v>
      </c>
      <c r="J24" s="21">
        <f t="shared" si="2"/>
        <v>1.3362082777036044E-2</v>
      </c>
      <c r="K24" s="21">
        <f t="shared" si="3"/>
        <v>1.3937917222963947E-2</v>
      </c>
    </row>
    <row r="25" spans="1:11" x14ac:dyDescent="0.25">
      <c r="A25" s="59" t="s">
        <v>26</v>
      </c>
      <c r="B25" s="10" t="s">
        <v>45</v>
      </c>
      <c r="C25" s="10">
        <v>117</v>
      </c>
      <c r="D25" s="10">
        <v>63</v>
      </c>
      <c r="E25" s="16">
        <f>D25/C25</f>
        <v>0.53846153846153844</v>
      </c>
      <c r="F25" s="14" t="s">
        <v>41</v>
      </c>
      <c r="G25" s="18">
        <v>0.17</v>
      </c>
      <c r="H25" s="21">
        <f t="shared" si="6"/>
        <v>0.44390000000000002</v>
      </c>
      <c r="I25" s="21">
        <f t="shared" si="1"/>
        <v>0.63100000000000001</v>
      </c>
      <c r="J25" s="21">
        <f t="shared" si="2"/>
        <v>9.4561538461538419E-2</v>
      </c>
      <c r="K25" s="21">
        <f t="shared" si="3"/>
        <v>9.2538461538461569E-2</v>
      </c>
    </row>
    <row r="26" spans="1:11" x14ac:dyDescent="0.25">
      <c r="A26" s="60"/>
      <c r="B26" s="10" t="s">
        <v>44</v>
      </c>
      <c r="C26" s="10">
        <v>46</v>
      </c>
      <c r="D26" s="10">
        <v>17</v>
      </c>
      <c r="E26" s="16">
        <f t="shared" si="4"/>
        <v>0.36956521739130432</v>
      </c>
      <c r="F26" s="14" t="s">
        <v>42</v>
      </c>
      <c r="G26" s="18">
        <v>0.17</v>
      </c>
      <c r="H26" s="21">
        <f t="shared" si="6"/>
        <v>0.2321</v>
      </c>
      <c r="I26" s="21">
        <f t="shared" si="1"/>
        <v>0.52450000000000008</v>
      </c>
      <c r="J26" s="21">
        <f t="shared" si="2"/>
        <v>0.13746521739130432</v>
      </c>
      <c r="K26" s="21">
        <f t="shared" si="3"/>
        <v>0.15493478260869575</v>
      </c>
    </row>
    <row r="27" spans="1:11" x14ac:dyDescent="0.25">
      <c r="A27" s="61"/>
      <c r="B27" s="12" t="s">
        <v>43</v>
      </c>
      <c r="C27" s="12">
        <f>SUM(C25:C26)</f>
        <v>163</v>
      </c>
      <c r="D27" s="12">
        <f>SUM(D25:D26)</f>
        <v>80</v>
      </c>
      <c r="E27" s="17">
        <f t="shared" si="4"/>
        <v>0.49079754601226994</v>
      </c>
      <c r="F27" s="19" t="s">
        <v>62</v>
      </c>
      <c r="G27" s="18">
        <v>0.17</v>
      </c>
      <c r="H27" s="21">
        <f t="shared" si="6"/>
        <v>0.4118</v>
      </c>
      <c r="I27" s="21">
        <f t="shared" si="1"/>
        <v>0.57020000000000004</v>
      </c>
      <c r="J27" s="21">
        <f t="shared" si="2"/>
        <v>7.8997546012269937E-2</v>
      </c>
      <c r="K27" s="21">
        <f t="shared" si="3"/>
        <v>7.9402453987730104E-2</v>
      </c>
    </row>
    <row r="28" spans="1:11" ht="45" x14ac:dyDescent="0.25">
      <c r="A28" s="27" t="s">
        <v>57</v>
      </c>
      <c r="B28" s="28" t="s">
        <v>58</v>
      </c>
      <c r="C28" s="29">
        <f>SUM(C13+C24+C27)</f>
        <v>4502</v>
      </c>
      <c r="D28" s="29">
        <f>SUM(D13+D24+D27)</f>
        <v>897</v>
      </c>
      <c r="E28" s="17">
        <f>D28/C28</f>
        <v>0.19924478009773433</v>
      </c>
      <c r="F28" s="19" t="s">
        <v>63</v>
      </c>
      <c r="G28" s="18">
        <f>$E$29</f>
        <v>0.16709640903087855</v>
      </c>
      <c r="H28" s="21">
        <f t="shared" ref="H28:H29" si="7">LEFT(F28,5)%</f>
        <v>0.18770000000000001</v>
      </c>
      <c r="I28" s="21">
        <f t="shared" ref="I28:I29" si="8">RIGHT(F28,5)%</f>
        <v>0.2112</v>
      </c>
      <c r="J28" s="21">
        <f t="shared" ref="J28:J29" si="9">E28-H28</f>
        <v>1.1544780097734325E-2</v>
      </c>
      <c r="K28" s="21">
        <f t="shared" ref="K28:K29" si="10">I28-E28</f>
        <v>1.1955219902265668E-2</v>
      </c>
    </row>
    <row r="29" spans="1:11" x14ac:dyDescent="0.25">
      <c r="A29" s="10"/>
      <c r="B29" s="12" t="s">
        <v>46</v>
      </c>
      <c r="C29" s="12">
        <f>SUM(C27,C24,C13,C10)</f>
        <v>15901</v>
      </c>
      <c r="D29" s="12">
        <f>SUM(D27,D24,D13,D10)</f>
        <v>2657</v>
      </c>
      <c r="E29" s="17">
        <f>SUM(D29/C29)</f>
        <v>0.16709640903087855</v>
      </c>
      <c r="F29" s="15" t="s">
        <v>64</v>
      </c>
      <c r="H29" s="21">
        <f t="shared" si="7"/>
        <v>0.1613</v>
      </c>
      <c r="I29" s="21">
        <f t="shared" si="8"/>
        <v>0.17300000000000001</v>
      </c>
      <c r="J29" s="21">
        <f t="shared" si="9"/>
        <v>5.7964090308785521E-3</v>
      </c>
      <c r="K29" s="21">
        <f t="shared" si="10"/>
        <v>5.9035909691214639E-3</v>
      </c>
    </row>
    <row r="32" spans="1:11" ht="30" x14ac:dyDescent="0.25">
      <c r="A32" s="45"/>
      <c r="B32" s="46" t="s">
        <v>3</v>
      </c>
      <c r="C32" s="47" t="s">
        <v>27</v>
      </c>
      <c r="D32" s="47" t="s">
        <v>28</v>
      </c>
      <c r="E32" s="47" t="s">
        <v>105</v>
      </c>
      <c r="F32" s="47" t="s">
        <v>47</v>
      </c>
      <c r="G32" s="45"/>
    </row>
    <row r="33" spans="1:7" x14ac:dyDescent="0.25">
      <c r="A33" s="64" t="s">
        <v>5</v>
      </c>
      <c r="B33" s="48" t="s">
        <v>9</v>
      </c>
      <c r="C33" s="45">
        <v>4539</v>
      </c>
      <c r="D33" s="45">
        <v>771</v>
      </c>
      <c r="E33" s="49">
        <f>D33/C33</f>
        <v>0.16986120290812953</v>
      </c>
      <c r="F33" s="50" t="s">
        <v>30</v>
      </c>
      <c r="G33" s="51">
        <f>$E$54</f>
        <v>0.16650898770104069</v>
      </c>
    </row>
    <row r="34" spans="1:7" x14ac:dyDescent="0.25">
      <c r="A34" s="64"/>
      <c r="B34" s="48" t="s">
        <v>11</v>
      </c>
      <c r="C34" s="45">
        <v>4269</v>
      </c>
      <c r="D34" s="45">
        <v>544</v>
      </c>
      <c r="E34" s="49">
        <f>D34/C34</f>
        <v>0.12743031154837198</v>
      </c>
      <c r="F34" s="50" t="s">
        <v>32</v>
      </c>
      <c r="G34" s="51">
        <f t="shared" ref="G34:G53" si="11">$E$54</f>
        <v>0.16650898770104069</v>
      </c>
    </row>
    <row r="35" spans="1:7" x14ac:dyDescent="0.25">
      <c r="A35" s="64"/>
      <c r="B35" s="48" t="s">
        <v>6</v>
      </c>
      <c r="C35" s="45">
        <v>2591</v>
      </c>
      <c r="D35" s="45">
        <v>445</v>
      </c>
      <c r="E35" s="49">
        <f>D35/C35</f>
        <v>0.17174835970667696</v>
      </c>
      <c r="F35" s="50" t="s">
        <v>29</v>
      </c>
      <c r="G35" s="51">
        <f t="shared" si="11"/>
        <v>0.16650898770104069</v>
      </c>
    </row>
    <row r="36" spans="1:7" x14ac:dyDescent="0.25">
      <c r="A36" s="64"/>
      <c r="B36" s="46" t="s">
        <v>7</v>
      </c>
      <c r="C36" s="46">
        <f>SUM(C33:C35)</f>
        <v>11399</v>
      </c>
      <c r="D36" s="46">
        <f>SUM(D33:D35)</f>
        <v>1760</v>
      </c>
      <c r="E36" s="52">
        <f>SUM(D36/C36)</f>
        <v>0.15439950872883587</v>
      </c>
      <c r="F36" s="53" t="s">
        <v>59</v>
      </c>
      <c r="G36" s="51">
        <f t="shared" si="11"/>
        <v>0.16650898770104069</v>
      </c>
    </row>
    <row r="37" spans="1:7" x14ac:dyDescent="0.25">
      <c r="A37" s="64" t="s">
        <v>8</v>
      </c>
      <c r="B37" s="48" t="s">
        <v>10</v>
      </c>
      <c r="C37" s="45">
        <v>487</v>
      </c>
      <c r="D37" s="45">
        <v>148</v>
      </c>
      <c r="E37" s="49">
        <f t="shared" ref="E37:E38" si="12">D37/C37</f>
        <v>0.30390143737166325</v>
      </c>
      <c r="F37" s="50" t="s">
        <v>31</v>
      </c>
      <c r="G37" s="51">
        <f t="shared" si="11"/>
        <v>0.16650898770104069</v>
      </c>
    </row>
    <row r="38" spans="1:7" x14ac:dyDescent="0.25">
      <c r="A38" s="64"/>
      <c r="B38" s="48" t="s">
        <v>12</v>
      </c>
      <c r="C38" s="45">
        <v>856</v>
      </c>
      <c r="D38" s="45">
        <v>155</v>
      </c>
      <c r="E38" s="49">
        <f t="shared" si="12"/>
        <v>0.18107476635514019</v>
      </c>
      <c r="F38" s="50" t="s">
        <v>33</v>
      </c>
      <c r="G38" s="51">
        <f t="shared" si="11"/>
        <v>0.16650898770104069</v>
      </c>
    </row>
    <row r="39" spans="1:7" x14ac:dyDescent="0.25">
      <c r="A39" s="64"/>
      <c r="B39" s="46" t="s">
        <v>13</v>
      </c>
      <c r="C39" s="46">
        <f>SUM(C37:C38)</f>
        <v>1343</v>
      </c>
      <c r="D39" s="46">
        <f>SUM(D37:D38)</f>
        <v>303</v>
      </c>
      <c r="E39" s="52">
        <f>SUM(D39/C39)</f>
        <v>0.22561429635145197</v>
      </c>
      <c r="F39" s="53" t="s">
        <v>60</v>
      </c>
      <c r="G39" s="51">
        <f t="shared" si="11"/>
        <v>0.16650898770104069</v>
      </c>
    </row>
    <row r="40" spans="1:7" x14ac:dyDescent="0.25">
      <c r="A40" s="64" t="s">
        <v>14</v>
      </c>
      <c r="B40" s="48" t="s">
        <v>15</v>
      </c>
      <c r="C40" s="45">
        <v>44</v>
      </c>
      <c r="D40" s="45">
        <v>1</v>
      </c>
      <c r="E40" s="49">
        <f t="shared" ref="E40:E50" si="13">D40/C40</f>
        <v>2.2727272727272728E-2</v>
      </c>
      <c r="F40" s="50" t="s">
        <v>34</v>
      </c>
      <c r="G40" s="51">
        <f t="shared" si="11"/>
        <v>0.16650898770104069</v>
      </c>
    </row>
    <row r="41" spans="1:7" x14ac:dyDescent="0.25">
      <c r="A41" s="64"/>
      <c r="B41" s="48" t="s">
        <v>16</v>
      </c>
      <c r="C41" s="45">
        <v>241</v>
      </c>
      <c r="D41" s="45">
        <v>21</v>
      </c>
      <c r="E41" s="49">
        <f t="shared" si="13"/>
        <v>8.7136929460580909E-2</v>
      </c>
      <c r="F41" s="50" t="s">
        <v>35</v>
      </c>
      <c r="G41" s="51">
        <f t="shared" si="11"/>
        <v>0.16650898770104069</v>
      </c>
    </row>
    <row r="42" spans="1:7" x14ac:dyDescent="0.25">
      <c r="A42" s="64"/>
      <c r="B42" s="48" t="s">
        <v>17</v>
      </c>
      <c r="C42" s="45">
        <v>248</v>
      </c>
      <c r="D42" s="45">
        <v>54</v>
      </c>
      <c r="E42" s="49">
        <f t="shared" si="13"/>
        <v>0.21774193548387097</v>
      </c>
      <c r="F42" s="50" t="s">
        <v>36</v>
      </c>
      <c r="G42" s="51">
        <f t="shared" si="11"/>
        <v>0.16650898770104069</v>
      </c>
    </row>
    <row r="43" spans="1:7" x14ac:dyDescent="0.25">
      <c r="A43" s="64"/>
      <c r="B43" s="48" t="s">
        <v>18</v>
      </c>
      <c r="C43" s="45">
        <v>324</v>
      </c>
      <c r="D43" s="45">
        <v>49</v>
      </c>
      <c r="E43" s="49">
        <f t="shared" si="13"/>
        <v>0.15123456790123457</v>
      </c>
      <c r="F43" s="50" t="s">
        <v>37</v>
      </c>
      <c r="G43" s="51">
        <f t="shared" si="11"/>
        <v>0.16650898770104069</v>
      </c>
    </row>
    <row r="44" spans="1:7" x14ac:dyDescent="0.25">
      <c r="A44" s="64"/>
      <c r="B44" s="48" t="s">
        <v>19</v>
      </c>
      <c r="C44" s="45">
        <v>1</v>
      </c>
      <c r="D44" s="45">
        <v>0</v>
      </c>
      <c r="E44" s="49">
        <f t="shared" si="13"/>
        <v>0</v>
      </c>
      <c r="F44" s="50" t="s">
        <v>48</v>
      </c>
      <c r="G44" s="51">
        <f t="shared" si="11"/>
        <v>0.16650898770104069</v>
      </c>
    </row>
    <row r="45" spans="1:7" x14ac:dyDescent="0.25">
      <c r="A45" s="64"/>
      <c r="B45" s="48" t="s">
        <v>20</v>
      </c>
      <c r="C45" s="45">
        <v>630</v>
      </c>
      <c r="D45" s="45">
        <v>152</v>
      </c>
      <c r="E45" s="49">
        <f t="shared" si="13"/>
        <v>0.24126984126984127</v>
      </c>
      <c r="F45" s="50" t="s">
        <v>38</v>
      </c>
      <c r="G45" s="51">
        <f t="shared" si="11"/>
        <v>0.16650898770104069</v>
      </c>
    </row>
    <row r="46" spans="1:7" x14ac:dyDescent="0.25">
      <c r="A46" s="64"/>
      <c r="B46" s="48" t="s">
        <v>21</v>
      </c>
      <c r="C46" s="45">
        <v>290</v>
      </c>
      <c r="D46" s="45">
        <v>45</v>
      </c>
      <c r="E46" s="49">
        <f t="shared" si="13"/>
        <v>0.15517241379310345</v>
      </c>
      <c r="F46" s="50" t="s">
        <v>39</v>
      </c>
      <c r="G46" s="51">
        <f t="shared" si="11"/>
        <v>0.16650898770104069</v>
      </c>
    </row>
    <row r="47" spans="1:7" x14ac:dyDescent="0.25">
      <c r="A47" s="64"/>
      <c r="B47" s="48" t="s">
        <v>22</v>
      </c>
      <c r="C47" s="45">
        <v>406</v>
      </c>
      <c r="D47" s="45">
        <v>64</v>
      </c>
      <c r="E47" s="49">
        <f t="shared" si="13"/>
        <v>0.15763546798029557</v>
      </c>
      <c r="F47" s="50" t="s">
        <v>40</v>
      </c>
      <c r="G47" s="51">
        <f t="shared" si="11"/>
        <v>0.16650898770104069</v>
      </c>
    </row>
    <row r="48" spans="1:7" x14ac:dyDescent="0.25">
      <c r="A48" s="64"/>
      <c r="B48" s="48" t="s">
        <v>23</v>
      </c>
      <c r="C48" s="45">
        <v>406</v>
      </c>
      <c r="D48" s="45">
        <v>64</v>
      </c>
      <c r="E48" s="49">
        <f t="shared" si="13"/>
        <v>0.15763546798029557</v>
      </c>
      <c r="F48" s="50" t="s">
        <v>40</v>
      </c>
      <c r="G48" s="51">
        <f t="shared" si="11"/>
        <v>0.16650898770104069</v>
      </c>
    </row>
    <row r="49" spans="1:7" x14ac:dyDescent="0.25">
      <c r="A49" s="64"/>
      <c r="B49" s="48" t="s">
        <v>24</v>
      </c>
      <c r="C49" s="45">
        <v>406</v>
      </c>
      <c r="D49" s="45">
        <v>64</v>
      </c>
      <c r="E49" s="49">
        <f t="shared" si="13"/>
        <v>0.15763546798029557</v>
      </c>
      <c r="F49" s="50" t="s">
        <v>40</v>
      </c>
      <c r="G49" s="51">
        <f t="shared" si="11"/>
        <v>0.16650898770104069</v>
      </c>
    </row>
    <row r="50" spans="1:7" x14ac:dyDescent="0.25">
      <c r="A50" s="64"/>
      <c r="B50" s="46" t="s">
        <v>25</v>
      </c>
      <c r="C50" s="46">
        <f>SUM(C40:C49)</f>
        <v>2996</v>
      </c>
      <c r="D50" s="46">
        <f>SUM(D40:D49)</f>
        <v>514</v>
      </c>
      <c r="E50" s="52">
        <f t="shared" si="13"/>
        <v>0.17156208277703605</v>
      </c>
      <c r="F50" s="53" t="s">
        <v>61</v>
      </c>
      <c r="G50" s="51">
        <f t="shared" si="11"/>
        <v>0.16650898770104069</v>
      </c>
    </row>
    <row r="51" spans="1:7" x14ac:dyDescent="0.25">
      <c r="A51" s="64" t="s">
        <v>26</v>
      </c>
      <c r="B51" s="45" t="s">
        <v>45</v>
      </c>
      <c r="C51" s="45">
        <v>117</v>
      </c>
      <c r="D51" s="45">
        <v>63</v>
      </c>
      <c r="E51" s="49">
        <f>D51/C51</f>
        <v>0.53846153846153844</v>
      </c>
      <c r="F51" s="50" t="s">
        <v>41</v>
      </c>
      <c r="G51" s="51">
        <f t="shared" si="11"/>
        <v>0.16650898770104069</v>
      </c>
    </row>
    <row r="52" spans="1:7" x14ac:dyDescent="0.25">
      <c r="A52" s="64"/>
      <c r="B52" s="46" t="s">
        <v>43</v>
      </c>
      <c r="C52" s="46">
        <f>SUM(C51:C51)</f>
        <v>117</v>
      </c>
      <c r="D52" s="46">
        <f>SUM(D51:D51)</f>
        <v>63</v>
      </c>
      <c r="E52" s="52">
        <f t="shared" ref="E52" si="14">D52/C52</f>
        <v>0.53846153846153844</v>
      </c>
      <c r="F52" s="53" t="s">
        <v>62</v>
      </c>
      <c r="G52" s="51">
        <f t="shared" si="11"/>
        <v>0.16650898770104069</v>
      </c>
    </row>
    <row r="53" spans="1:7" ht="45" x14ac:dyDescent="0.25">
      <c r="A53" s="54" t="s">
        <v>57</v>
      </c>
      <c r="B53" s="47" t="s">
        <v>58</v>
      </c>
      <c r="C53" s="55">
        <f>SUM(C39+C50+C52)</f>
        <v>4456</v>
      </c>
      <c r="D53" s="55">
        <f>SUM(D39+D50+D52)</f>
        <v>880</v>
      </c>
      <c r="E53" s="52">
        <f>D53/C53</f>
        <v>0.19748653500897667</v>
      </c>
      <c r="F53" s="53" t="s">
        <v>63</v>
      </c>
      <c r="G53" s="51">
        <f t="shared" si="11"/>
        <v>0.16650898770104069</v>
      </c>
    </row>
    <row r="54" spans="1:7" x14ac:dyDescent="0.25">
      <c r="A54" s="45"/>
      <c r="B54" s="46" t="s">
        <v>46</v>
      </c>
      <c r="C54" s="46">
        <f>SUM(C52,C50,C39,C36)</f>
        <v>15855</v>
      </c>
      <c r="D54" s="46">
        <f>SUM(D52,D50,D39,D36)</f>
        <v>2640</v>
      </c>
      <c r="E54" s="52">
        <f>SUM(D54/C54)</f>
        <v>0.16650898770104069</v>
      </c>
      <c r="F54" s="53" t="s">
        <v>64</v>
      </c>
      <c r="G54" s="45"/>
    </row>
  </sheetData>
  <mergeCells count="8">
    <mergeCell ref="A51:A52"/>
    <mergeCell ref="A14:A24"/>
    <mergeCell ref="A25:A27"/>
    <mergeCell ref="A11:A13"/>
    <mergeCell ref="A7:A10"/>
    <mergeCell ref="A33:A36"/>
    <mergeCell ref="A37:A39"/>
    <mergeCell ref="A40:A5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2" sqref="E22"/>
    </sheetView>
  </sheetViews>
  <sheetFormatPr defaultRowHeight="15" x14ac:dyDescent="0.25"/>
  <cols>
    <col min="1" max="1" width="60.140625" bestFit="1" customWidth="1"/>
    <col min="4" max="4" width="7.28515625" bestFit="1" customWidth="1"/>
    <col min="5" max="5" width="11.140625" bestFit="1" customWidth="1"/>
  </cols>
  <sheetData>
    <row r="1" spans="1:5" x14ac:dyDescent="0.25">
      <c r="A1" s="32" t="s">
        <v>65</v>
      </c>
      <c r="B1" s="2"/>
      <c r="C1" s="3"/>
      <c r="D1" s="3"/>
      <c r="E1" s="33"/>
    </row>
    <row r="2" spans="1:5" x14ac:dyDescent="0.25">
      <c r="A2" s="4" t="s">
        <v>1</v>
      </c>
      <c r="B2" s="5"/>
      <c r="C2" s="4"/>
      <c r="D2" s="4"/>
      <c r="E2" s="33"/>
    </row>
    <row r="3" spans="1:5" x14ac:dyDescent="0.25">
      <c r="A3" s="6" t="s">
        <v>2</v>
      </c>
      <c r="B3" s="7"/>
      <c r="C3" s="8"/>
      <c r="D3" s="8"/>
    </row>
    <row r="4" spans="1:5" ht="15.75" thickBot="1" x14ac:dyDescent="0.3">
      <c r="A4" s="7"/>
      <c r="B4" s="7"/>
      <c r="C4" s="8"/>
      <c r="D4" s="8"/>
    </row>
    <row r="5" spans="1:5" ht="51" x14ac:dyDescent="0.25">
      <c r="A5" s="22" t="s">
        <v>3</v>
      </c>
      <c r="B5" s="23" t="s">
        <v>53</v>
      </c>
      <c r="C5" s="23" t="s">
        <v>54</v>
      </c>
      <c r="D5" s="23" t="s">
        <v>4</v>
      </c>
      <c r="E5" s="24" t="s">
        <v>55</v>
      </c>
    </row>
    <row r="6" spans="1:5" x14ac:dyDescent="0.25">
      <c r="A6" s="34" t="s">
        <v>83</v>
      </c>
      <c r="B6" s="35">
        <v>4765</v>
      </c>
      <c r="C6" s="35">
        <v>817</v>
      </c>
      <c r="D6" s="36">
        <v>17.149999999999999</v>
      </c>
      <c r="E6" s="25" t="s">
        <v>66</v>
      </c>
    </row>
    <row r="7" spans="1:5" x14ac:dyDescent="0.25">
      <c r="A7" s="34" t="s">
        <v>84</v>
      </c>
      <c r="B7" s="35">
        <v>4187</v>
      </c>
      <c r="C7" s="35">
        <v>548</v>
      </c>
      <c r="D7" s="36">
        <v>13.09</v>
      </c>
      <c r="E7" s="26" t="s">
        <v>67</v>
      </c>
    </row>
    <row r="8" spans="1:5" x14ac:dyDescent="0.25">
      <c r="A8" s="34" t="s">
        <v>88</v>
      </c>
      <c r="B8" s="35">
        <v>46</v>
      </c>
      <c r="C8" s="35">
        <v>1</v>
      </c>
      <c r="D8" s="36">
        <v>2.17</v>
      </c>
      <c r="E8" s="26" t="s">
        <v>68</v>
      </c>
    </row>
    <row r="9" spans="1:5" x14ac:dyDescent="0.25">
      <c r="A9" s="34" t="s">
        <v>93</v>
      </c>
      <c r="B9" s="35">
        <v>549</v>
      </c>
      <c r="C9" s="35">
        <v>127</v>
      </c>
      <c r="D9" s="36">
        <v>23.13</v>
      </c>
      <c r="E9" s="26" t="s">
        <v>69</v>
      </c>
    </row>
    <row r="10" spans="1:5" x14ac:dyDescent="0.25">
      <c r="A10" s="34" t="s">
        <v>86</v>
      </c>
      <c r="B10" s="35">
        <v>492</v>
      </c>
      <c r="C10" s="35">
        <v>153</v>
      </c>
      <c r="D10" s="36">
        <v>31.1</v>
      </c>
      <c r="E10" s="26" t="s">
        <v>70</v>
      </c>
    </row>
    <row r="11" spans="1:5" x14ac:dyDescent="0.25">
      <c r="A11" s="34" t="s">
        <v>89</v>
      </c>
      <c r="B11" s="35">
        <v>227</v>
      </c>
      <c r="C11" s="35">
        <v>20</v>
      </c>
      <c r="D11" s="36">
        <v>8.81</v>
      </c>
      <c r="E11" s="26" t="s">
        <v>71</v>
      </c>
    </row>
    <row r="12" spans="1:5" x14ac:dyDescent="0.25">
      <c r="A12" s="34" t="s">
        <v>92</v>
      </c>
      <c r="B12" s="35">
        <v>1</v>
      </c>
      <c r="C12" s="35">
        <v>0</v>
      </c>
      <c r="D12" s="36">
        <v>0</v>
      </c>
      <c r="E12" s="26"/>
    </row>
    <row r="13" spans="1:5" x14ac:dyDescent="0.25">
      <c r="A13" s="34" t="s">
        <v>95</v>
      </c>
      <c r="B13" s="35">
        <v>378</v>
      </c>
      <c r="C13" s="35">
        <v>63</v>
      </c>
      <c r="D13" s="36">
        <v>16.670000000000002</v>
      </c>
      <c r="E13" s="26" t="s">
        <v>72</v>
      </c>
    </row>
    <row r="14" spans="1:5" x14ac:dyDescent="0.25">
      <c r="A14" s="34" t="s">
        <v>94</v>
      </c>
      <c r="B14" s="35">
        <v>242</v>
      </c>
      <c r="C14" s="35">
        <v>31</v>
      </c>
      <c r="D14" s="36">
        <v>12.81</v>
      </c>
      <c r="E14" s="26" t="s">
        <v>73</v>
      </c>
    </row>
    <row r="15" spans="1:5" x14ac:dyDescent="0.25">
      <c r="A15" s="34" t="s">
        <v>87</v>
      </c>
      <c r="B15" s="35">
        <v>828</v>
      </c>
      <c r="C15" s="35">
        <v>146</v>
      </c>
      <c r="D15" s="36">
        <v>17.63</v>
      </c>
      <c r="E15" s="26" t="s">
        <v>74</v>
      </c>
    </row>
    <row r="16" spans="1:5" x14ac:dyDescent="0.25">
      <c r="A16" s="34" t="s">
        <v>90</v>
      </c>
      <c r="B16" s="35">
        <v>230</v>
      </c>
      <c r="C16" s="35">
        <v>43</v>
      </c>
      <c r="D16" s="36">
        <v>18.7</v>
      </c>
      <c r="E16" s="26" t="s">
        <v>75</v>
      </c>
    </row>
    <row r="17" spans="1:5" x14ac:dyDescent="0.25">
      <c r="A17" s="34" t="s">
        <v>85</v>
      </c>
      <c r="B17" s="35">
        <v>2583</v>
      </c>
      <c r="C17" s="35">
        <v>463</v>
      </c>
      <c r="D17" s="36">
        <v>17.920000000000002</v>
      </c>
      <c r="E17" s="26" t="s">
        <v>76</v>
      </c>
    </row>
    <row r="18" spans="1:5" x14ac:dyDescent="0.25">
      <c r="A18" s="34" t="s">
        <v>98</v>
      </c>
      <c r="B18" s="35">
        <v>65</v>
      </c>
      <c r="C18" s="35">
        <v>34</v>
      </c>
      <c r="D18" s="36">
        <v>52.31</v>
      </c>
      <c r="E18" s="26" t="s">
        <v>77</v>
      </c>
    </row>
    <row r="19" spans="1:5" x14ac:dyDescent="0.25">
      <c r="A19" s="34" t="s">
        <v>96</v>
      </c>
      <c r="B19" s="35">
        <v>127</v>
      </c>
      <c r="C19" s="35">
        <v>24</v>
      </c>
      <c r="D19" s="36">
        <v>18.899999999999999</v>
      </c>
      <c r="E19" s="26" t="s">
        <v>78</v>
      </c>
    </row>
    <row r="20" spans="1:5" x14ac:dyDescent="0.25">
      <c r="A20" s="34" t="s">
        <v>97</v>
      </c>
      <c r="B20" s="35">
        <v>382</v>
      </c>
      <c r="C20" s="35">
        <v>51</v>
      </c>
      <c r="D20" s="36">
        <v>13.35</v>
      </c>
      <c r="E20" s="26" t="s">
        <v>79</v>
      </c>
    </row>
    <row r="21" spans="1:5" x14ac:dyDescent="0.25">
      <c r="A21" s="34" t="s">
        <v>91</v>
      </c>
      <c r="B21" s="35">
        <v>315</v>
      </c>
      <c r="C21" s="35">
        <v>54</v>
      </c>
      <c r="D21" s="36">
        <v>17.14</v>
      </c>
      <c r="E21" s="26" t="s">
        <v>80</v>
      </c>
    </row>
    <row r="22" spans="1:5" x14ac:dyDescent="0.25">
      <c r="A22" s="34" t="s">
        <v>56</v>
      </c>
      <c r="B22" s="35">
        <v>15417</v>
      </c>
      <c r="C22" s="35">
        <v>2575</v>
      </c>
      <c r="D22" s="36">
        <v>16.7</v>
      </c>
      <c r="E22" s="26" t="s">
        <v>81</v>
      </c>
    </row>
    <row r="23" spans="1:5" x14ac:dyDescent="0.25">
      <c r="A23" s="7"/>
      <c r="B23" s="7"/>
      <c r="C23" s="8"/>
      <c r="D23" s="8"/>
      <c r="E23" s="26"/>
    </row>
    <row r="24" spans="1:5" x14ac:dyDescent="0.25">
      <c r="A24" s="4" t="s">
        <v>82</v>
      </c>
      <c r="B24" s="7"/>
      <c r="C24" s="8"/>
      <c r="D24" s="8"/>
      <c r="E2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Aruandesse2018</vt:lpstr>
      <vt:lpstr>Aruandesse2016</vt:lpstr>
      <vt:lpstr>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2016-10-04T06:53:27Z</dcterms:created>
  <dcterms:modified xsi:type="dcterms:W3CDTF">2018-10-09T07:00:08Z</dcterms:modified>
</cp:coreProperties>
</file>